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rticoli da Aprile 19\"/>
    </mc:Choice>
  </mc:AlternateContent>
  <bookViews>
    <workbookView xWindow="0" yWindow="0" windowWidth="19200" windowHeight="6648" firstSheet="2" activeTab="2"/>
  </bookViews>
  <sheets>
    <sheet name="ORIG con intervento" sheetId="1" state="hidden" r:id="rId1"/>
    <sheet name="ORIG senza intervento" sheetId="3" state="hidden" r:id="rId2"/>
    <sheet name="Liguria" sheetId="18" r:id="rId3"/>
    <sheet name="Lombardia " sheetId="15" r:id="rId4"/>
    <sheet name="Piemonte" sheetId="16" r:id="rId5"/>
    <sheet name="Puglia" sheetId="17" r:id="rId6"/>
    <sheet name="Veneto" sheetId="19" r:id="rId7"/>
    <sheet name="CONTRIBUTI MIN. PARITARIE" sheetId="9" state="hidden" r:id="rId8"/>
    <sheet name="CONTRIB" sheetId="8" state="hidden" r:id="rId9"/>
    <sheet name="Foglio1" sheetId="10" state="hidden" r:id="rId10"/>
    <sheet name="DISABILI" sheetId="7" state="hidden" r:id="rId11"/>
    <sheet name="ALUNNI" sheetId="6" state="hidden" r:id="rId12"/>
    <sheet name="DirdiAPpp" sheetId="11" state="hidden" r:id="rId13"/>
    <sheet name="SCUOLE IN LOMBARDIA" sheetId="5" state="hidden" r:id="rId14"/>
    <sheet name="Slide 22" sheetId="12" state="hidden" r:id="rId15"/>
    <sheet name="Slide 22 con BilPrev2020-2022" sheetId="13" state="hidden" r:id="rId16"/>
  </sheets>
  <externalReferences>
    <externalReference r:id="rId17"/>
  </externalReferences>
  <definedNames>
    <definedName name="_xlnm.Print_Area" localSheetId="3">'Lombardia '!$A$1:$X$68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8" l="1"/>
  <c r="O6" i="17" l="1"/>
  <c r="F2" i="17"/>
  <c r="H38" i="19"/>
  <c r="F38" i="19"/>
  <c r="E38" i="19"/>
  <c r="D38" i="19"/>
  <c r="C38" i="19"/>
  <c r="F28" i="19"/>
  <c r="D28" i="19"/>
  <c r="G57" i="15"/>
  <c r="L26" i="15" l="1"/>
  <c r="G67" i="15"/>
  <c r="G55" i="19"/>
  <c r="C20" i="19"/>
  <c r="F55" i="19"/>
  <c r="E55" i="19"/>
  <c r="D55" i="19"/>
  <c r="C55" i="19"/>
  <c r="C36" i="19"/>
  <c r="C37" i="19" s="1"/>
  <c r="D35" i="19"/>
  <c r="D40" i="19" s="1"/>
  <c r="E40" i="19" s="1"/>
  <c r="C26" i="19"/>
  <c r="D25" i="19"/>
  <c r="D29" i="19" s="1"/>
  <c r="E29" i="19" s="1"/>
  <c r="C19" i="19"/>
  <c r="D18" i="19"/>
  <c r="E18" i="19" s="1"/>
  <c r="C18" i="19"/>
  <c r="C17" i="19"/>
  <c r="L16" i="19"/>
  <c r="L18" i="19" s="1"/>
  <c r="L19" i="19" s="1"/>
  <c r="L20" i="19" s="1"/>
  <c r="D16" i="19"/>
  <c r="D17" i="19" s="1"/>
  <c r="E17" i="19" s="1"/>
  <c r="C11" i="19"/>
  <c r="G10" i="19"/>
  <c r="C10" i="19"/>
  <c r="G9" i="19"/>
  <c r="C9" i="19"/>
  <c r="C8" i="19"/>
  <c r="L7" i="19"/>
  <c r="C7" i="19"/>
  <c r="L6" i="19"/>
  <c r="L8" i="19" s="1"/>
  <c r="G11" i="19"/>
  <c r="D6" i="19"/>
  <c r="D8" i="19" s="1"/>
  <c r="E8" i="19" s="1"/>
  <c r="F2" i="19"/>
  <c r="C27" i="19" l="1"/>
  <c r="N26" i="19"/>
  <c r="N18" i="19"/>
  <c r="N8" i="19"/>
  <c r="L25" i="19"/>
  <c r="L26" i="19" s="1"/>
  <c r="L27" i="19" s="1"/>
  <c r="D27" i="19"/>
  <c r="E27" i="19" s="1"/>
  <c r="E28" i="19" s="1"/>
  <c r="D19" i="19"/>
  <c r="E19" i="19" s="1"/>
  <c r="N19" i="19" s="1"/>
  <c r="D36" i="19"/>
  <c r="E36" i="19" s="1"/>
  <c r="D7" i="19"/>
  <c r="E7" i="19" s="1"/>
  <c r="N7" i="19" s="1"/>
  <c r="D11" i="19"/>
  <c r="E11" i="19" s="1"/>
  <c r="D26" i="19"/>
  <c r="E26" i="19" s="1"/>
  <c r="D20" i="19"/>
  <c r="E20" i="19" s="1"/>
  <c r="N20" i="19" s="1"/>
  <c r="L10" i="19"/>
  <c r="D30" i="19"/>
  <c r="E30" i="19" s="1"/>
  <c r="L11" i="19"/>
  <c r="E25" i="19"/>
  <c r="N25" i="19" s="1"/>
  <c r="L17" i="19"/>
  <c r="N17" i="19" s="1"/>
  <c r="C39" i="19"/>
  <c r="L9" i="19"/>
  <c r="E6" i="19"/>
  <c r="N6" i="19" s="1"/>
  <c r="E16" i="19"/>
  <c r="N16" i="19" s="1"/>
  <c r="D39" i="19"/>
  <c r="E39" i="19" s="1"/>
  <c r="D10" i="19"/>
  <c r="E10" i="19" s="1"/>
  <c r="E35" i="19"/>
  <c r="D9" i="19"/>
  <c r="E9" i="19" s="1"/>
  <c r="D37" i="19"/>
  <c r="E37" i="19" s="1"/>
  <c r="N26" i="15"/>
  <c r="N17" i="15"/>
  <c r="N18" i="15"/>
  <c r="N19" i="15"/>
  <c r="N20" i="15"/>
  <c r="N21" i="15"/>
  <c r="N16" i="15"/>
  <c r="N7" i="15"/>
  <c r="N8" i="15"/>
  <c r="N9" i="15"/>
  <c r="N10" i="15"/>
  <c r="N11" i="15"/>
  <c r="N6" i="15"/>
  <c r="D51" i="18"/>
  <c r="N11" i="19" l="1"/>
  <c r="L29" i="19"/>
  <c r="L30" i="19" s="1"/>
  <c r="L39" i="19" s="1"/>
  <c r="L28" i="19"/>
  <c r="C29" i="19"/>
  <c r="N29" i="19" s="1"/>
  <c r="N27" i="19"/>
  <c r="N28" i="19"/>
  <c r="L37" i="19"/>
  <c r="L36" i="19"/>
  <c r="N36" i="19" s="1"/>
  <c r="N10" i="19"/>
  <c r="L35" i="19"/>
  <c r="N35" i="19" s="1"/>
  <c r="N9" i="19"/>
  <c r="D6" i="17"/>
  <c r="D34" i="16"/>
  <c r="D24" i="16"/>
  <c r="D15" i="16"/>
  <c r="D6" i="16"/>
  <c r="D36" i="18"/>
  <c r="D26" i="18"/>
  <c r="D16" i="18"/>
  <c r="D6" i="18"/>
  <c r="E6" i="18" s="1"/>
  <c r="D36" i="15"/>
  <c r="D26" i="15"/>
  <c r="D16" i="15"/>
  <c r="D6" i="15"/>
  <c r="N37" i="19" l="1"/>
  <c r="L38" i="19"/>
  <c r="N38" i="19" s="1"/>
  <c r="L40" i="19"/>
  <c r="N40" i="19" s="1"/>
  <c r="N39" i="19"/>
  <c r="N30" i="19"/>
  <c r="D7" i="18"/>
  <c r="E6" i="16"/>
  <c r="M6" i="16" s="1"/>
  <c r="E36" i="18"/>
  <c r="E26" i="18"/>
  <c r="E16" i="18"/>
  <c r="E34" i="16"/>
  <c r="M34" i="16" s="1"/>
  <c r="E24" i="16"/>
  <c r="M24" i="16" s="1"/>
  <c r="E15" i="16"/>
  <c r="M15" i="16" s="1"/>
  <c r="E6" i="15" l="1"/>
  <c r="F54" i="17"/>
  <c r="E54" i="17"/>
  <c r="D54" i="17"/>
  <c r="C54" i="17"/>
  <c r="F52" i="16"/>
  <c r="E52" i="16"/>
  <c r="D52" i="16"/>
  <c r="C52" i="16"/>
  <c r="F67" i="15"/>
  <c r="E67" i="15"/>
  <c r="D67" i="15"/>
  <c r="C67" i="15"/>
  <c r="F66" i="18"/>
  <c r="E66" i="18"/>
  <c r="D66" i="18"/>
  <c r="C66" i="18"/>
  <c r="G6" i="17"/>
  <c r="G8" i="17" s="1"/>
  <c r="F6" i="17"/>
  <c r="F7" i="17" s="1"/>
  <c r="M6" i="17"/>
  <c r="D36" i="17"/>
  <c r="D41" i="17" s="1"/>
  <c r="E41" i="17" s="1"/>
  <c r="E6" i="17"/>
  <c r="D26" i="17"/>
  <c r="D28" i="17" s="1"/>
  <c r="E28" i="17" s="1"/>
  <c r="D16" i="17"/>
  <c r="D18" i="17" s="1"/>
  <c r="E18" i="17" s="1"/>
  <c r="C37" i="17"/>
  <c r="C27" i="17"/>
  <c r="C21" i="17"/>
  <c r="C20" i="17"/>
  <c r="C19" i="17"/>
  <c r="C18" i="17"/>
  <c r="C17" i="17"/>
  <c r="M16" i="17"/>
  <c r="C11" i="17"/>
  <c r="C10" i="17"/>
  <c r="C9" i="17"/>
  <c r="C8" i="17"/>
  <c r="M7" i="17"/>
  <c r="C7" i="17"/>
  <c r="C28" i="17" l="1"/>
  <c r="G54" i="17"/>
  <c r="C38" i="17"/>
  <c r="G66" i="18"/>
  <c r="G52" i="16"/>
  <c r="M18" i="17"/>
  <c r="O18" i="17" s="1"/>
  <c r="M8" i="17"/>
  <c r="G9" i="17"/>
  <c r="O9" i="17" s="1"/>
  <c r="G7" i="17"/>
  <c r="G10" i="17"/>
  <c r="G11" i="17" s="1"/>
  <c r="M17" i="17"/>
  <c r="D29" i="17"/>
  <c r="E29" i="17" s="1"/>
  <c r="F9" i="17"/>
  <c r="F11" i="17"/>
  <c r="F8" i="17"/>
  <c r="F10" i="17"/>
  <c r="M10" i="17"/>
  <c r="E36" i="17"/>
  <c r="D38" i="17"/>
  <c r="E38" i="17" s="1"/>
  <c r="D39" i="17"/>
  <c r="E39" i="17" s="1"/>
  <c r="D40" i="17"/>
  <c r="E40" i="17" s="1"/>
  <c r="D37" i="17"/>
  <c r="E37" i="17" s="1"/>
  <c r="D30" i="17"/>
  <c r="E30" i="17" s="1"/>
  <c r="D27" i="17"/>
  <c r="E27" i="17" s="1"/>
  <c r="D19" i="17"/>
  <c r="E19" i="17" s="1"/>
  <c r="D11" i="17"/>
  <c r="E11" i="17" s="1"/>
  <c r="O11" i="17" s="1"/>
  <c r="D10" i="17"/>
  <c r="E10" i="17" s="1"/>
  <c r="O10" i="17" s="1"/>
  <c r="C29" i="17"/>
  <c r="D9" i="17"/>
  <c r="E9" i="17" s="1"/>
  <c r="D20" i="17"/>
  <c r="E20" i="17" s="1"/>
  <c r="D8" i="17"/>
  <c r="E8" i="17" s="1"/>
  <c r="O8" i="17" s="1"/>
  <c r="D17" i="17"/>
  <c r="E17" i="17" s="1"/>
  <c r="D7" i="17"/>
  <c r="E7" i="17" s="1"/>
  <c r="O7" i="17" s="1"/>
  <c r="M11" i="17"/>
  <c r="E26" i="17"/>
  <c r="D31" i="17"/>
  <c r="E31" i="17" s="1"/>
  <c r="M9" i="17"/>
  <c r="E16" i="17"/>
  <c r="O16" i="17" s="1"/>
  <c r="D21" i="17"/>
  <c r="E21" i="17" s="1"/>
  <c r="O17" i="17" l="1"/>
  <c r="C39" i="17"/>
  <c r="M19" i="17"/>
  <c r="O19" i="17" s="1"/>
  <c r="C30" i="17"/>
  <c r="L17" i="16"/>
  <c r="L18" i="16" s="1"/>
  <c r="L16" i="16"/>
  <c r="L9" i="16"/>
  <c r="L8" i="16"/>
  <c r="L7" i="16"/>
  <c r="C40" i="17" l="1"/>
  <c r="M20" i="17"/>
  <c r="O20" i="17" s="1"/>
  <c r="C31" i="17"/>
  <c r="C41" i="17" l="1"/>
  <c r="M21" i="17"/>
  <c r="O21" i="17" s="1"/>
  <c r="M19" i="18"/>
  <c r="M20" i="18" s="1"/>
  <c r="M21" i="18" s="1"/>
  <c r="M18" i="18"/>
  <c r="M17" i="18"/>
  <c r="D57" i="18"/>
  <c r="C51" i="18"/>
  <c r="G51" i="18" s="1"/>
  <c r="D41" i="18"/>
  <c r="D40" i="18"/>
  <c r="D39" i="18"/>
  <c r="D38" i="18"/>
  <c r="D37" i="18"/>
  <c r="C37" i="18"/>
  <c r="C38" i="18" s="1"/>
  <c r="D31" i="18"/>
  <c r="D30" i="18"/>
  <c r="D29" i="18"/>
  <c r="D28" i="18"/>
  <c r="D27" i="18"/>
  <c r="C27" i="18"/>
  <c r="C28" i="18" s="1"/>
  <c r="D21" i="18"/>
  <c r="C21" i="18"/>
  <c r="D20" i="18"/>
  <c r="C20" i="18"/>
  <c r="D19" i="18"/>
  <c r="C19" i="18"/>
  <c r="D18" i="18"/>
  <c r="C18" i="18"/>
  <c r="D17" i="18"/>
  <c r="C17" i="18"/>
  <c r="L16" i="18"/>
  <c r="N16" i="18" s="1"/>
  <c r="F11" i="18"/>
  <c r="D11" i="18"/>
  <c r="C11" i="18"/>
  <c r="H10" i="18"/>
  <c r="H11" i="18" s="1"/>
  <c r="F10" i="18"/>
  <c r="D10" i="18"/>
  <c r="C10" i="18"/>
  <c r="F9" i="18"/>
  <c r="D9" i="18"/>
  <c r="C9" i="18"/>
  <c r="D8" i="18"/>
  <c r="C8" i="18"/>
  <c r="L7" i="18"/>
  <c r="C7" i="18"/>
  <c r="L6" i="18"/>
  <c r="N6" i="18" s="1"/>
  <c r="M26" i="17" l="1"/>
  <c r="O26" i="17" s="1"/>
  <c r="E40" i="18"/>
  <c r="E41" i="18"/>
  <c r="E37" i="18"/>
  <c r="E38" i="18"/>
  <c r="E39" i="18"/>
  <c r="E31" i="18"/>
  <c r="E30" i="18"/>
  <c r="E27" i="18"/>
  <c r="E29" i="18"/>
  <c r="E28" i="18"/>
  <c r="E18" i="18"/>
  <c r="E19" i="18"/>
  <c r="E20" i="18"/>
  <c r="E17" i="18"/>
  <c r="E21" i="18"/>
  <c r="E8" i="18"/>
  <c r="E11" i="18"/>
  <c r="E7" i="18"/>
  <c r="N7" i="18" s="1"/>
  <c r="E9" i="18"/>
  <c r="E10" i="18"/>
  <c r="L10" i="18"/>
  <c r="N10" i="18" s="1"/>
  <c r="C57" i="18"/>
  <c r="G57" i="18" s="1"/>
  <c r="L17" i="18"/>
  <c r="L18" i="18"/>
  <c r="L11" i="18"/>
  <c r="N11" i="18" s="1"/>
  <c r="C29" i="18"/>
  <c r="L8" i="18"/>
  <c r="C39" i="18"/>
  <c r="L9" i="18"/>
  <c r="N9" i="18" s="1"/>
  <c r="N8" i="18" l="1"/>
  <c r="N18" i="18"/>
  <c r="N17" i="18"/>
  <c r="M27" i="17"/>
  <c r="O27" i="17" s="1"/>
  <c r="L19" i="18"/>
  <c r="N19" i="18" s="1"/>
  <c r="C30" i="18"/>
  <c r="C40" i="18"/>
  <c r="M28" i="17" l="1"/>
  <c r="O28" i="17" s="1"/>
  <c r="L20" i="18"/>
  <c r="N20" i="18" s="1"/>
  <c r="C31" i="18"/>
  <c r="C41" i="18"/>
  <c r="M29" i="17" l="1"/>
  <c r="O29" i="17" s="1"/>
  <c r="L21" i="18"/>
  <c r="N21" i="18" s="1"/>
  <c r="D36" i="16"/>
  <c r="D37" i="16" s="1"/>
  <c r="D35" i="16"/>
  <c r="D26" i="16"/>
  <c r="D25" i="16"/>
  <c r="E25" i="16" s="1"/>
  <c r="C25" i="16"/>
  <c r="M25" i="16" s="1"/>
  <c r="D17" i="16"/>
  <c r="C17" i="16"/>
  <c r="D16" i="16"/>
  <c r="E16" i="16" s="1"/>
  <c r="C16" i="16"/>
  <c r="M16" i="16" s="1"/>
  <c r="D8" i="16"/>
  <c r="C8" i="16"/>
  <c r="D7" i="16"/>
  <c r="C7" i="16"/>
  <c r="E17" i="16" l="1"/>
  <c r="M17" i="16" s="1"/>
  <c r="D18" i="16"/>
  <c r="E18" i="16" s="1"/>
  <c r="M18" i="16" s="1"/>
  <c r="E26" i="16"/>
  <c r="D28" i="16"/>
  <c r="E28" i="16" s="1"/>
  <c r="M28" i="16" s="1"/>
  <c r="D27" i="16"/>
  <c r="E27" i="16" s="1"/>
  <c r="M27" i="16" s="1"/>
  <c r="D38" i="16"/>
  <c r="E38" i="16" s="1"/>
  <c r="M38" i="16" s="1"/>
  <c r="E37" i="16"/>
  <c r="M37" i="16" s="1"/>
  <c r="M30" i="17"/>
  <c r="O30" i="17" s="1"/>
  <c r="E7" i="16"/>
  <c r="M7" i="16" s="1"/>
  <c r="E35" i="16"/>
  <c r="M35" i="16" s="1"/>
  <c r="D9" i="16"/>
  <c r="E9" i="16" s="1"/>
  <c r="M9" i="16" s="1"/>
  <c r="E8" i="16"/>
  <c r="M8" i="16" s="1"/>
  <c r="E36" i="16"/>
  <c r="M36" i="16" s="1"/>
  <c r="C26" i="16"/>
  <c r="L26" i="18"/>
  <c r="N26" i="18" s="1"/>
  <c r="M26" i="16" l="1"/>
  <c r="M31" i="17"/>
  <c r="O31" i="17" s="1"/>
  <c r="L27" i="18"/>
  <c r="N27" i="18" s="1"/>
  <c r="E36" i="15"/>
  <c r="E26" i="15"/>
  <c r="E16" i="15"/>
  <c r="M38" i="17" l="1"/>
  <c r="O38" i="17" s="1"/>
  <c r="M39" i="17"/>
  <c r="O39" i="17" s="1"/>
  <c r="M37" i="17"/>
  <c r="O37" i="17" s="1"/>
  <c r="M40" i="17"/>
  <c r="O40" i="17" s="1"/>
  <c r="M36" i="17"/>
  <c r="O36" i="17" s="1"/>
  <c r="L28" i="18"/>
  <c r="N28" i="18" s="1"/>
  <c r="G6" i="15"/>
  <c r="M41" i="17" l="1"/>
  <c r="O41" i="17" s="1"/>
  <c r="G7" i="15"/>
  <c r="G11" i="15"/>
  <c r="G10" i="15"/>
  <c r="G9" i="15"/>
  <c r="G8" i="15"/>
  <c r="L29" i="18"/>
  <c r="N29" i="18" s="1"/>
  <c r="F2" i="15"/>
  <c r="C51" i="15"/>
  <c r="D57" i="15"/>
  <c r="D51" i="15"/>
  <c r="G51" i="15" l="1"/>
  <c r="L30" i="18"/>
  <c r="N30" i="18" s="1"/>
  <c r="C57" i="15"/>
  <c r="L31" i="18" l="1"/>
  <c r="N31" i="18" s="1"/>
  <c r="L16" i="15"/>
  <c r="L7" i="15"/>
  <c r="L6" i="15"/>
  <c r="L39" i="18" l="1"/>
  <c r="N39" i="18" s="1"/>
  <c r="L40" i="18"/>
  <c r="N40" i="18" s="1"/>
  <c r="L38" i="18"/>
  <c r="N38" i="18" s="1"/>
  <c r="L37" i="18"/>
  <c r="N37" i="18" s="1"/>
  <c r="L36" i="18"/>
  <c r="N36" i="18" s="1"/>
  <c r="L11" i="15"/>
  <c r="L18" i="15"/>
  <c r="L17" i="15"/>
  <c r="L8" i="15"/>
  <c r="L9" i="15"/>
  <c r="L10" i="15"/>
  <c r="F11" i="15"/>
  <c r="F10" i="15"/>
  <c r="F9" i="15"/>
  <c r="F8" i="15"/>
  <c r="F7" i="15"/>
  <c r="C37" i="15"/>
  <c r="C27" i="15"/>
  <c r="D31" i="15"/>
  <c r="E31" i="15" s="1"/>
  <c r="D30" i="15"/>
  <c r="E30" i="15" s="1"/>
  <c r="D29" i="15"/>
  <c r="E29" i="15" s="1"/>
  <c r="D28" i="15"/>
  <c r="E28" i="15" s="1"/>
  <c r="D27" i="15"/>
  <c r="E27" i="15" s="1"/>
  <c r="D7" i="15"/>
  <c r="E7" i="15" s="1"/>
  <c r="D41" i="15"/>
  <c r="D40" i="15"/>
  <c r="D39" i="15"/>
  <c r="D38" i="15"/>
  <c r="D37" i="15"/>
  <c r="D21" i="15"/>
  <c r="E21" i="15" s="1"/>
  <c r="C21" i="15"/>
  <c r="D20" i="15"/>
  <c r="E20" i="15" s="1"/>
  <c r="C20" i="15"/>
  <c r="D19" i="15"/>
  <c r="E19" i="15" s="1"/>
  <c r="C19" i="15"/>
  <c r="D18" i="15"/>
  <c r="E18" i="15" s="1"/>
  <c r="C18" i="15"/>
  <c r="D17" i="15"/>
  <c r="E17" i="15" s="1"/>
  <c r="C17" i="15"/>
  <c r="D11" i="15"/>
  <c r="E11" i="15" s="1"/>
  <c r="D10" i="15"/>
  <c r="E10" i="15" s="1"/>
  <c r="D9" i="15"/>
  <c r="E9" i="15" s="1"/>
  <c r="D8" i="15"/>
  <c r="E8" i="15" s="1"/>
  <c r="C11" i="15"/>
  <c r="C10" i="15"/>
  <c r="C9" i="15"/>
  <c r="C8" i="15"/>
  <c r="C7" i="15"/>
  <c r="L19" i="15" l="1"/>
  <c r="C28" i="15"/>
  <c r="C38" i="15"/>
  <c r="L41" i="18"/>
  <c r="N41" i="18" s="1"/>
  <c r="E37" i="15"/>
  <c r="E38" i="15"/>
  <c r="E39" i="15"/>
  <c r="E41" i="15"/>
  <c r="E40" i="15"/>
  <c r="E6" i="5"/>
  <c r="L20" i="15" l="1"/>
  <c r="C39" i="15"/>
  <c r="C29" i="15"/>
  <c r="M9" i="5"/>
  <c r="M8" i="5"/>
  <c r="M7" i="5"/>
  <c r="L21" i="15" l="1"/>
  <c r="C30" i="15"/>
  <c r="C40" i="15"/>
  <c r="H7" i="5"/>
  <c r="H8" i="5" s="1"/>
  <c r="H9" i="5" s="1"/>
  <c r="H6" i="5"/>
  <c r="I6" i="5" s="1"/>
  <c r="C41" i="15" l="1"/>
  <c r="C31" i="15"/>
  <c r="I10" i="5"/>
  <c r="L27" i="15" l="1"/>
  <c r="N27" i="15" s="1"/>
  <c r="D9" i="5"/>
  <c r="D8" i="5"/>
  <c r="D7" i="5"/>
  <c r="D6" i="5"/>
  <c r="L28" i="15" l="1"/>
  <c r="N28" i="15" s="1"/>
  <c r="E9" i="5"/>
  <c r="J9" i="5" s="1"/>
  <c r="O9" i="5" s="1"/>
  <c r="J6" i="5"/>
  <c r="O6" i="5" s="1"/>
  <c r="E7" i="5"/>
  <c r="J7" i="5" s="1"/>
  <c r="O7" i="5" s="1"/>
  <c r="E8" i="5"/>
  <c r="J8" i="5" s="1"/>
  <c r="O8" i="5" s="1"/>
  <c r="C13" i="9"/>
  <c r="C14" i="9"/>
  <c r="C15" i="9"/>
  <c r="C16" i="9"/>
  <c r="E17" i="9"/>
  <c r="D17" i="9"/>
  <c r="L29" i="15" l="1"/>
  <c r="N29" i="15" s="1"/>
  <c r="C17" i="9"/>
  <c r="F17" i="9"/>
  <c r="D3" i="13"/>
  <c r="L30" i="15" l="1"/>
  <c r="N30" i="15" s="1"/>
  <c r="R53" i="13"/>
  <c r="R41" i="13"/>
  <c r="R29" i="13"/>
  <c r="R15" i="13"/>
  <c r="R5" i="13"/>
  <c r="O54" i="13"/>
  <c r="O42" i="13"/>
  <c r="O30" i="13"/>
  <c r="P16" i="13"/>
  <c r="P30" i="13" s="1"/>
  <c r="P42" i="13" s="1"/>
  <c r="O16" i="13"/>
  <c r="Q16" i="13" s="1"/>
  <c r="H6" i="13" s="1"/>
  <c r="O14" i="13"/>
  <c r="O28" i="13" s="1"/>
  <c r="Q5" i="13"/>
  <c r="S4" i="13"/>
  <c r="L31" i="15" l="1"/>
  <c r="N31" i="15" s="1"/>
  <c r="S16" i="13"/>
  <c r="G6" i="13"/>
  <c r="F6" i="13"/>
  <c r="E6" i="13"/>
  <c r="E3" i="13" s="1"/>
  <c r="O40" i="13"/>
  <c r="P54" i="13"/>
  <c r="Q54" i="13" s="1"/>
  <c r="K6" i="13" s="1"/>
  <c r="Q42" i="13"/>
  <c r="J6" i="13" s="1"/>
  <c r="Q30" i="13"/>
  <c r="L40" i="15" l="1"/>
  <c r="N40" i="15" s="1"/>
  <c r="L37" i="15"/>
  <c r="N37" i="15" s="1"/>
  <c r="L38" i="15"/>
  <c r="N38" i="15" s="1"/>
  <c r="L36" i="15"/>
  <c r="N36" i="15" s="1"/>
  <c r="L39" i="15"/>
  <c r="N39" i="15" s="1"/>
  <c r="I6" i="13"/>
  <c r="S30" i="13"/>
  <c r="S54" i="13"/>
  <c r="S42" i="13"/>
  <c r="O52" i="13"/>
  <c r="L41" i="15" l="1"/>
  <c r="N41" i="15" s="1"/>
  <c r="E35" i="1"/>
  <c r="J15" i="11"/>
  <c r="J14" i="11"/>
  <c r="J13" i="11"/>
  <c r="J12" i="11"/>
  <c r="J6" i="11"/>
  <c r="J5" i="11"/>
  <c r="J4" i="11"/>
  <c r="J3" i="11"/>
  <c r="J7" i="11" l="1"/>
  <c r="J16" i="11"/>
  <c r="J21" i="11"/>
  <c r="C30" i="10"/>
  <c r="C26" i="10"/>
  <c r="C18" i="10"/>
  <c r="C6" i="10"/>
  <c r="E28" i="8"/>
  <c r="D28" i="8"/>
  <c r="E26" i="8"/>
  <c r="D9" i="9" l="1"/>
  <c r="E9" i="9" l="1"/>
  <c r="E41" i="9" s="1"/>
  <c r="B19" i="8"/>
  <c r="C26" i="8" s="1"/>
  <c r="G31" i="9"/>
  <c r="E30" i="9"/>
  <c r="E32" i="9" s="1"/>
  <c r="C6" i="9" s="1"/>
  <c r="F6" i="9" s="1"/>
  <c r="F30" i="9"/>
  <c r="F31" i="9"/>
  <c r="C31" i="9"/>
  <c r="G30" i="9"/>
  <c r="C30" i="9"/>
  <c r="G32" i="9" l="1"/>
  <c r="C8" i="9" s="1"/>
  <c r="F8" i="9" s="1"/>
  <c r="C32" i="9"/>
  <c r="F32" i="9"/>
  <c r="C7" i="9" s="1"/>
  <c r="F7" i="9" s="1"/>
  <c r="I39" i="1"/>
  <c r="I32" i="9" l="1"/>
  <c r="C34" i="9"/>
  <c r="C5" i="9"/>
  <c r="C9" i="9" s="1"/>
  <c r="F9" i="9" s="1"/>
  <c r="F5" i="9" l="1"/>
  <c r="E6" i="8"/>
  <c r="D6" i="8"/>
  <c r="B6" i="8"/>
  <c r="E5" i="8"/>
  <c r="D5" i="8"/>
  <c r="C5" i="8"/>
  <c r="C7" i="8" s="1"/>
  <c r="C16" i="8" s="1"/>
  <c r="D16" i="8" s="1"/>
  <c r="B5" i="8"/>
  <c r="B7" i="8" l="1"/>
  <c r="C15" i="8" s="1"/>
  <c r="D7" i="8"/>
  <c r="E7" i="8"/>
  <c r="C18" i="8" s="1"/>
  <c r="D18" i="8" s="1"/>
  <c r="G3" i="6"/>
  <c r="E3" i="6"/>
  <c r="B6" i="6"/>
  <c r="G8" i="6"/>
  <c r="G5" i="6"/>
  <c r="B9" i="8" l="1"/>
  <c r="C17" i="8"/>
  <c r="D17" i="8" s="1"/>
  <c r="D15" i="8"/>
  <c r="B8" i="6"/>
  <c r="E8" i="6" s="1"/>
  <c r="E5" i="6"/>
  <c r="C19" i="8" l="1"/>
  <c r="B9" i="6"/>
  <c r="B10" i="5" l="1"/>
  <c r="P4" i="13" l="1"/>
  <c r="G4" i="13"/>
  <c r="P14" i="13" l="1"/>
  <c r="P41" i="13"/>
  <c r="Q41" i="13" s="1"/>
  <c r="P29" i="13"/>
  <c r="Q29" i="13" s="1"/>
  <c r="I5" i="13" s="1"/>
  <c r="P15" i="13"/>
  <c r="Q15" i="13" s="1"/>
  <c r="H5" i="13" s="1"/>
  <c r="P53" i="13"/>
  <c r="Q53" i="13" s="1"/>
  <c r="K5" i="13" s="1"/>
  <c r="Q4" i="13"/>
  <c r="C11" i="3"/>
  <c r="D11" i="3" s="1"/>
  <c r="B11" i="3"/>
  <c r="C10" i="3"/>
  <c r="B10" i="3"/>
  <c r="D4" i="3"/>
  <c r="D3" i="3"/>
  <c r="E11" i="3" l="1"/>
  <c r="D10" i="3"/>
  <c r="E10" i="3" s="1"/>
  <c r="S14" i="13"/>
  <c r="Q6" i="13"/>
  <c r="S52" i="13"/>
  <c r="S40" i="13"/>
  <c r="S28" i="13"/>
  <c r="P28" i="13"/>
  <c r="Q14" i="13"/>
  <c r="Q17" i="13" s="1"/>
  <c r="D5" i="3"/>
  <c r="D12" i="3"/>
  <c r="E36" i="1"/>
  <c r="E37" i="1"/>
  <c r="E38" i="1"/>
  <c r="Q18" i="13" l="1"/>
  <c r="P40" i="13"/>
  <c r="Q28" i="13"/>
  <c r="Q31" i="13" s="1"/>
  <c r="Q32" i="13" s="1"/>
  <c r="D13" i="3"/>
  <c r="P52" i="13" l="1"/>
  <c r="Q52" i="13" s="1"/>
  <c r="Q55" i="13" s="1"/>
  <c r="Q56" i="13" s="1"/>
  <c r="Q40" i="13"/>
  <c r="Q43" i="13" s="1"/>
  <c r="Q44" i="13" s="1"/>
  <c r="J5" i="13" s="1"/>
  <c r="G55" i="1"/>
  <c r="E55" i="1"/>
  <c r="C55" i="1"/>
  <c r="G54" i="1"/>
  <c r="E54" i="1"/>
  <c r="D54" i="1"/>
  <c r="D56" i="1" s="1"/>
  <c r="K36" i="1" s="1"/>
  <c r="C54" i="1"/>
  <c r="C56" i="1" s="1"/>
  <c r="F36" i="1"/>
  <c r="J36" i="1" s="1"/>
  <c r="F37" i="1"/>
  <c r="J37" i="1" s="1"/>
  <c r="F38" i="1"/>
  <c r="J38" i="1" s="1"/>
  <c r="F35" i="1"/>
  <c r="J35" i="1" s="1"/>
  <c r="C39" i="1"/>
  <c r="J39" i="1" l="1"/>
  <c r="L36" i="1"/>
  <c r="E56" i="1"/>
  <c r="K37" i="1" s="1"/>
  <c r="L37" i="1" s="1"/>
  <c r="G56" i="1"/>
  <c r="K38" i="1" s="1"/>
  <c r="L38" i="1" s="1"/>
  <c r="K35" i="1"/>
  <c r="E12" i="1"/>
  <c r="E13" i="1"/>
  <c r="E14" i="1"/>
  <c r="E11" i="1"/>
  <c r="E19" i="1"/>
  <c r="E20" i="1"/>
  <c r="E21" i="1"/>
  <c r="E18" i="1"/>
  <c r="C22" i="1"/>
  <c r="H12" i="1"/>
  <c r="H13" i="1"/>
  <c r="H14" i="1"/>
  <c r="H11" i="1"/>
  <c r="F12" i="1"/>
  <c r="F13" i="1"/>
  <c r="F14" i="1"/>
  <c r="F11" i="1"/>
  <c r="K15" i="1"/>
  <c r="C15" i="1"/>
  <c r="E3" i="1"/>
  <c r="E2" i="1"/>
  <c r="J11" i="1" l="1"/>
  <c r="J56" i="1"/>
  <c r="S5" i="13" s="1"/>
  <c r="K39" i="1"/>
  <c r="E4" i="1"/>
  <c r="F15" i="1"/>
  <c r="E22" i="1"/>
  <c r="E15" i="1"/>
  <c r="E24" i="1" s="1"/>
  <c r="L35" i="1"/>
  <c r="L39" i="1" s="1"/>
  <c r="J13" i="1"/>
  <c r="J14" i="1"/>
  <c r="H15" i="1"/>
  <c r="J12" i="1"/>
  <c r="J15" i="1" l="1"/>
  <c r="D9" i="6"/>
  <c r="D6" i="6"/>
  <c r="F9" i="6"/>
  <c r="F6" i="6"/>
</calcChain>
</file>

<file path=xl/sharedStrings.xml><?xml version="1.0" encoding="utf-8"?>
<sst xmlns="http://schemas.openxmlformats.org/spreadsheetml/2006/main" count="1024" uniqueCount="325">
  <si>
    <t>Studenti</t>
  </si>
  <si>
    <t>Costo</t>
  </si>
  <si>
    <t>Scuola statale</t>
  </si>
  <si>
    <t>Scuola paritaria</t>
  </si>
  <si>
    <t>Infanzia</t>
  </si>
  <si>
    <t>Primaria</t>
  </si>
  <si>
    <t>Secondaria 1^</t>
  </si>
  <si>
    <t>Secondaria 2^</t>
  </si>
  <si>
    <t>Numero allievi</t>
  </si>
  <si>
    <t>Totale spesa</t>
  </si>
  <si>
    <t>Scuola STATALE</t>
  </si>
  <si>
    <t>CON DISABILI</t>
  </si>
  <si>
    <t>Totale Allievi</t>
  </si>
  <si>
    <t>costo totale senza disabile</t>
  </si>
  <si>
    <t>Costi standard senza disabile</t>
  </si>
  <si>
    <t xml:space="preserve">costo standard con disabile </t>
  </si>
  <si>
    <t>costo totale con disabile</t>
  </si>
  <si>
    <t xml:space="preserve">SCUOLE </t>
  </si>
  <si>
    <t>In regime di COSTI STANDARD DI SOSTENIBILITA' PER ALLIEVO</t>
  </si>
  <si>
    <t>Scuola PARITARIA</t>
  </si>
  <si>
    <t>I FONDI VANNO EROGATI SECONDO I CRITERI DI EFFICIENZA</t>
  </si>
  <si>
    <t xml:space="preserve">con meno allievi si applica una percentuale </t>
  </si>
  <si>
    <t>e cosi via</t>
  </si>
  <si>
    <t>2. BILANCI PUBBLICI E RENDICONTATE LE SPESE</t>
  </si>
  <si>
    <t>3. AL NETTO DEGLI ALTRI CONTRIBUTI</t>
  </si>
  <si>
    <t xml:space="preserve">INFANZIA </t>
  </si>
  <si>
    <t>PRIMARIA</t>
  </si>
  <si>
    <t>SEC. I GRADO</t>
  </si>
  <si>
    <t>SECONDARIA II GRADO</t>
  </si>
  <si>
    <t>TOTALE COSTO</t>
  </si>
  <si>
    <t xml:space="preserve">COSTO A CARICO DELLO STATO </t>
  </si>
  <si>
    <t xml:space="preserve">TOTALE COSTO A CARICO DELLO STATO </t>
  </si>
  <si>
    <t>SEC. II GRADO</t>
  </si>
  <si>
    <t>al netto degli attuali contributi erogati</t>
  </si>
  <si>
    <t xml:space="preserve">Netto da destinare </t>
  </si>
  <si>
    <t>Scuole presenti</t>
  </si>
  <si>
    <t>Contributi scuola</t>
  </si>
  <si>
    <t>contributi allievi</t>
  </si>
  <si>
    <t>Totale contributi</t>
  </si>
  <si>
    <t>A) MIUR CHE EROGA oggi</t>
  </si>
  <si>
    <t>B) REGIONE (DOTE SCUOLA)</t>
  </si>
  <si>
    <t>C) COMUNE (PER L'INFANZIA C'E' LA ZERO - SEI ANNI)</t>
  </si>
  <si>
    <t>OPZIONE B) COSTO STANDARD IN TEMPI DI CORONAVIRUS</t>
  </si>
  <si>
    <t>Lo scenario ad oggi 2020</t>
  </si>
  <si>
    <t>Totale spesa a carico dello Stato</t>
  </si>
  <si>
    <t xml:space="preserve">Maggiore somma che lo stato deve introdurre per il 2021 </t>
  </si>
  <si>
    <t xml:space="preserve">Lo scenario che si prefigura già per il 2021 - senza alcun intervento </t>
  </si>
  <si>
    <t xml:space="preserve">OPZIONE A) COSTO STANDARD PER TUTTI A REGIME </t>
  </si>
  <si>
    <r>
      <t xml:space="preserve">La </t>
    </r>
    <r>
      <rPr>
        <b/>
        <sz val="11"/>
        <color theme="1"/>
        <rFont val="Calibri"/>
        <family val="2"/>
        <scheme val="minor"/>
      </rPr>
      <t xml:space="preserve">Scuola dell’Infanzia </t>
    </r>
    <r>
      <rPr>
        <sz val="11"/>
        <color theme="1"/>
        <rFont val="Calibri"/>
        <family val="2"/>
        <scheme val="minor"/>
      </rPr>
      <t>riceve un contributo per scuola €. 9.102,76 + Contributo per sezione €. 10.766,47 (ogni classe almeno 15 allievi)</t>
    </r>
  </si>
  <si>
    <r>
      <t>La Scuola Primaria</t>
    </r>
    <r>
      <rPr>
        <sz val="11"/>
        <color theme="1"/>
        <rFont val="Calibri"/>
        <family val="2"/>
        <scheme val="minor"/>
      </rPr>
      <t xml:space="preserve"> euro 19.000 per ciascuna classe con almeno 12 allievi</t>
    </r>
  </si>
  <si>
    <r>
      <rPr>
        <b/>
        <sz val="11"/>
        <color theme="1"/>
        <rFont val="Calibri"/>
        <family val="2"/>
        <scheme val="minor"/>
      </rPr>
      <t xml:space="preserve">La Scuola secondaria di I grado </t>
    </r>
    <r>
      <rPr>
        <sz val="11"/>
        <color theme="1"/>
        <rFont val="Calibri"/>
        <family val="2"/>
        <scheme val="minor"/>
      </rPr>
      <t>Contributo per scuola €. 2.676,68 Contributo per alunno €. 110,38</t>
    </r>
  </si>
  <si>
    <r>
      <rPr>
        <b/>
        <sz val="11"/>
        <color theme="1"/>
        <rFont val="Calibri"/>
        <family val="2"/>
        <scheme val="minor"/>
      </rPr>
      <t xml:space="preserve">La Scuola secondaria di II grado </t>
    </r>
    <r>
      <rPr>
        <sz val="11"/>
        <color theme="1"/>
        <rFont val="Calibri"/>
        <family val="2"/>
        <scheme val="minor"/>
      </rPr>
      <t>Contributo per scuola €. 2.676,68 Contributo per alunno €. 110,38</t>
    </r>
  </si>
  <si>
    <t>COSTO A CARICO DELLO STATO 
(per alunno)</t>
  </si>
  <si>
    <t>A fronte di un risparmio di 250 milioni di Euro, avrebbe maggior costi per ogni anno in bilancio di circa 5.000 milioni di Euro.</t>
  </si>
  <si>
    <t>disabilità</t>
  </si>
  <si>
    <t>costo sostenuto oggi dal MIUR</t>
  </si>
  <si>
    <t>A fronte di un risparmio di 310 milioni di Euro, avrebbe maggior costi per ogni anno in bilancio di circa 3.875 milioni di Euro.</t>
  </si>
  <si>
    <t>Sbilancio</t>
  </si>
  <si>
    <t>2014-15</t>
  </si>
  <si>
    <t>2017-18</t>
  </si>
  <si>
    <t>2018-19</t>
  </si>
  <si>
    <t>Studenti scuole pubbliche paritarie (comunali, cattoliche, altre…)</t>
  </si>
  <si>
    <t>Studenti scuole pubbliche statali</t>
  </si>
  <si>
    <t>differenza</t>
  </si>
  <si>
    <t>Totale studenti</t>
  </si>
  <si>
    <t>Disabili scuole statali</t>
  </si>
  <si>
    <t>Disabili scuole paritarie</t>
  </si>
  <si>
    <t>Scuola</t>
  </si>
  <si>
    <t>Alunni</t>
  </si>
  <si>
    <t>Alunni con disabilità</t>
  </si>
  <si>
    <t>Investimento per lo Stato (tasse dei cittadini)</t>
  </si>
  <si>
    <t>Costo per lo Stato (tasse dei cittadini)</t>
  </si>
  <si>
    <t>Sussidiarietà al contrario. La famiglia dell'allievo disabile finanzia le economie dello stato per £</t>
  </si>
  <si>
    <t xml:space="preserve"> €                                  -   </t>
  </si>
  <si>
    <t>Contributi allievi</t>
  </si>
  <si>
    <r>
      <t xml:space="preserve">La </t>
    </r>
    <r>
      <rPr>
        <b/>
        <sz val="12"/>
        <color theme="0"/>
        <rFont val="Calibri"/>
        <family val="2"/>
        <scheme val="minor"/>
      </rPr>
      <t xml:space="preserve">Scuola dell’Infanzia </t>
    </r>
    <r>
      <rPr>
        <sz val="12"/>
        <color theme="0"/>
        <rFont val="Calibri"/>
        <family val="2"/>
        <scheme val="minor"/>
      </rPr>
      <t>riceve un contributo per scuola €. 9.102,76 + Contributo per sezione €. 10.766,47 (ogni classe almeno 15 allievi)</t>
    </r>
  </si>
  <si>
    <r>
      <t>La Scuola Primaria</t>
    </r>
    <r>
      <rPr>
        <sz val="12"/>
        <color theme="0"/>
        <rFont val="Calibri"/>
        <family val="2"/>
        <scheme val="minor"/>
      </rPr>
      <t xml:space="preserve"> euro 19.000 per ciascuna classe con almeno 12 allievi</t>
    </r>
  </si>
  <si>
    <r>
      <rPr>
        <b/>
        <sz val="12"/>
        <color theme="0"/>
        <rFont val="Calibri"/>
        <family val="2"/>
        <scheme val="minor"/>
      </rPr>
      <t xml:space="preserve">La Scuola secondaria di I grado </t>
    </r>
    <r>
      <rPr>
        <sz val="12"/>
        <color theme="0"/>
        <rFont val="Calibri"/>
        <family val="2"/>
        <scheme val="minor"/>
      </rPr>
      <t>Contributo per scuola €. 2.676,68 Contributo per alunno €. 110,38</t>
    </r>
  </si>
  <si>
    <r>
      <rPr>
        <b/>
        <sz val="12"/>
        <color theme="0"/>
        <rFont val="Calibri"/>
        <family val="2"/>
        <scheme val="minor"/>
      </rPr>
      <t xml:space="preserve">La Scuola secondaria di II grado </t>
    </r>
    <r>
      <rPr>
        <sz val="12"/>
        <color theme="0"/>
        <rFont val="Calibri"/>
        <family val="2"/>
        <scheme val="minor"/>
      </rPr>
      <t>Contributo per scuola €. 2.676,68 Contributo per alunno €. 110,38</t>
    </r>
  </si>
  <si>
    <t>TOTALE SPESA A REGIME CON CRITERI DI EFFICIENZA</t>
  </si>
  <si>
    <t>Compartecipazione delle Famiglie per il</t>
  </si>
  <si>
    <t>Costo ingresso studenti a Settembre 2020</t>
  </si>
  <si>
    <t>Riduzione di 300.000 studenti nelle paritarie</t>
  </si>
  <si>
    <t xml:space="preserve">1. CLASSI CON ALMENO
20 BAMBINI </t>
  </si>
  <si>
    <t>Una somma che è ferma negli anni e tende solo a diminuire. Prima di luglio alle scuole non arriverà e si riferisce all'a.s.19/20 già concluso</t>
  </si>
  <si>
    <t>il decreto firmato sui contriburi di 500Ml</t>
  </si>
  <si>
    <t>CONTRIBUTI PER ALLIEVO A.S. 19/20</t>
  </si>
  <si>
    <r>
      <t xml:space="preserve">La </t>
    </r>
    <r>
      <rPr>
        <b/>
        <sz val="12"/>
        <color theme="1"/>
        <rFont val="Calibri Light"/>
        <family val="2"/>
        <scheme val="major"/>
      </rPr>
      <t xml:space="preserve">Scuola dell’Infanzia </t>
    </r>
    <r>
      <rPr>
        <sz val="12"/>
        <color theme="1"/>
        <rFont val="Calibri Light"/>
        <family val="2"/>
        <scheme val="major"/>
      </rPr>
      <t>riceve un contributo per scuola €. 9.102,76 + Contributo per sezione €. 10.766,47 (ogni classe almeno 15 allievi)</t>
    </r>
  </si>
  <si>
    <r>
      <t>La Scuola Primaria</t>
    </r>
    <r>
      <rPr>
        <sz val="12"/>
        <color theme="1"/>
        <rFont val="Calibri Light"/>
        <family val="2"/>
        <scheme val="major"/>
      </rPr>
      <t xml:space="preserve"> euro 19.000 per ciascuna classe con almeno 12 allievi</t>
    </r>
  </si>
  <si>
    <r>
      <rPr>
        <b/>
        <sz val="12"/>
        <color theme="1"/>
        <rFont val="Calibri Light"/>
        <family val="2"/>
        <scheme val="major"/>
      </rPr>
      <t xml:space="preserve">La Scuola secondaria di I grado </t>
    </r>
    <r>
      <rPr>
        <sz val="12"/>
        <color theme="1"/>
        <rFont val="Calibri Light"/>
        <family val="2"/>
        <scheme val="major"/>
      </rPr>
      <t>Contributo per scuola €. 2.676,68 Contributo per alunno €. 110,38</t>
    </r>
  </si>
  <si>
    <r>
      <rPr>
        <b/>
        <sz val="12"/>
        <color theme="1"/>
        <rFont val="Calibri Light"/>
        <family val="2"/>
        <scheme val="major"/>
      </rPr>
      <t xml:space="preserve">La Scuola secondaria di II grado </t>
    </r>
    <r>
      <rPr>
        <sz val="12"/>
        <color theme="1"/>
        <rFont val="Calibri Light"/>
        <family val="2"/>
        <scheme val="major"/>
      </rPr>
      <t>Contributo per scuola €. 2.676,68 Contributo per alunno €. 110,38</t>
    </r>
  </si>
  <si>
    <t>662</t>
  </si>
  <si>
    <t>Contributi al netto degli attuali contributi erogati</t>
  </si>
  <si>
    <t>2016-17</t>
  </si>
  <si>
    <t>2019-20</t>
  </si>
  <si>
    <t>Scuole</t>
  </si>
  <si>
    <t xml:space="preserve">Contributo per  ciascun alunno </t>
  </si>
  <si>
    <t>Disabili</t>
  </si>
  <si>
    <t>SPESE D’ISTRUZIONE DETRAIBILI 2020</t>
  </si>
  <si>
    <t>per la famiglia</t>
  </si>
  <si>
    <t>Detrazione effettiva ammessa</t>
  </si>
  <si>
    <t xml:space="preserve">Retta mensile asilo nido (pubblico e/o privato) = &gt; 600,00  </t>
  </si>
  <si>
    <t xml:space="preserve"> Costo annuo (11 mesi) = &gt; 6.600,00</t>
  </si>
  <si>
    <t xml:space="preserve">Retta mensile scuola parotaria (3-18 anni) = &gt; 300,00 - 500,00  </t>
  </si>
  <si>
    <t>Importo contributo = &gt; 250,00</t>
  </si>
  <si>
    <t>Detrazione spese mensa 19% , fino ad un massimo di Euro 800,00</t>
  </si>
  <si>
    <t xml:space="preserve">Bonus asilo nido </t>
  </si>
  <si>
    <t>famiglie con reddito ISEE fino a 25.000 Euro</t>
  </si>
  <si>
    <t>famiglie con reddito ISEE da 25.000 a 40.000 Euro</t>
  </si>
  <si>
    <t>famiglie con reddito ISEE oltre 40.000 Euro</t>
  </si>
  <si>
    <t>Costo annuo (9 mesi) = &gt; 2.700-4.500</t>
  </si>
  <si>
    <t>Contributo scolastico volontario scuola superiore (facoltativo non obbligatorio)</t>
  </si>
  <si>
    <t>Detrazione spese per uscite didattiche e viaggi di istruzione 19% , fino ad un massimo di Euro 800,00</t>
  </si>
  <si>
    <t>spese per la mensa scolastica</t>
  </si>
  <si>
    <t>spese per uscite didattiche e viaggi di istruzione</t>
  </si>
  <si>
    <t>Detrazione spese asilo nido (0-3 anni) 19% della spesa, fino ad un massimo di Euro 632,00</t>
  </si>
  <si>
    <t>Detrazione spese rette materna e scuola dell'obbligo (6-18 anni) 19% della spesa, fino ad un massimo di Euro 800,00</t>
  </si>
  <si>
    <t xml:space="preserve">Erogazioni liberali a favore degli istituti scolastici - 19% </t>
  </si>
  <si>
    <t xml:space="preserve">SCUOLA STATALE </t>
  </si>
  <si>
    <t xml:space="preserve">Totale spesa in regime di Costi Standard </t>
  </si>
  <si>
    <t>Spesa odierna</t>
  </si>
  <si>
    <t>SCUOLA PARITARIA</t>
  </si>
  <si>
    <t>Totale spesa in regime di Costi Standard</t>
  </si>
  <si>
    <t>Spesa in regime di costi standard per allievo</t>
  </si>
  <si>
    <t xml:space="preserve">Lo scenario che si prefigura già per il 2022 - senza alcun intervento </t>
  </si>
  <si>
    <t>Fonte: Principali dati della Scuola Anno Scolastico 2019/2020 M.I.U.R; Dati Ragioneria dello Stato; Decreti contributi M.I.U.R.</t>
  </si>
  <si>
    <t>Riduzione di 400.000 studenti nelle paritarie</t>
  </si>
  <si>
    <t>Costo ingresso studenti a Settembre 2021</t>
  </si>
  <si>
    <t>Costo ingresso studenti a Settembre 2022</t>
  </si>
  <si>
    <t>Maggiore somma che lo Stato deve introdurre per il 2021</t>
  </si>
  <si>
    <t>Maggiore somma che lo Stato deve introdurre per il 2022</t>
  </si>
  <si>
    <t>Riduzione di 500.000 studenti nelle paritarie</t>
  </si>
  <si>
    <t xml:space="preserve">Lo scenario che si prefigura già per il 2023 - senza alcun intervento </t>
  </si>
  <si>
    <t>Maggiore somma che lo Stato deve introdurre per il 2023</t>
  </si>
  <si>
    <t>Lo scenario che si prefigura in una totale chiusura delle scuole cattoliche</t>
  </si>
  <si>
    <t>Riduzione di 886.805 studenti nelle paritarie</t>
  </si>
  <si>
    <t xml:space="preserve">Costi chiusura paritarie </t>
  </si>
  <si>
    <t>Costi standard (70-30%)</t>
  </si>
  <si>
    <t>2021 CSSA</t>
  </si>
  <si>
    <t>Maggiore somma che lo Stato deve introdurre per il 2030</t>
  </si>
  <si>
    <t xml:space="preserve">Contributi alla scuole Paritarie a.s. 2018/2019 stanziati con D.M. </t>
  </si>
  <si>
    <t>Contributi alla scuole Paritarie a.s. 2019/2020 stanziati con D.M. 16/03/2020 n. 000181</t>
  </si>
  <si>
    <t>ANDAMENTO DEI CONTRIBUTI A FAVORE DELL'ALLIEVO SCUOLA PARITARIA NEGLI ANNI</t>
  </si>
  <si>
    <t>NUMERO ALLIEVI</t>
  </si>
  <si>
    <t>COSTO MEDIO STUDENTE - MIUR</t>
  </si>
  <si>
    <t>A</t>
  </si>
  <si>
    <t>B</t>
  </si>
  <si>
    <t>D</t>
  </si>
  <si>
    <t xml:space="preserve">A) </t>
  </si>
  <si>
    <t>B)</t>
  </si>
  <si>
    <t xml:space="preserve">C) </t>
  </si>
  <si>
    <t>C</t>
  </si>
  <si>
    <t>D)</t>
  </si>
  <si>
    <t xml:space="preserve">E) </t>
  </si>
  <si>
    <r>
      <t xml:space="preserve">Contributo Funzionamento a carico della FAMIGLIA - </t>
    </r>
    <r>
      <rPr>
        <b/>
        <sz val="11"/>
        <color rgb="FFFF0000"/>
        <rFont val="Calibri"/>
        <family val="2"/>
        <scheme val="minor"/>
      </rPr>
      <t>RETTA DA CHIEDERE</t>
    </r>
  </si>
  <si>
    <t>E</t>
  </si>
  <si>
    <t>Fonte: elaborazioni su dati MIUR e Rapporto spese fiscali 2019.</t>
  </si>
  <si>
    <t>Leggenda</t>
  </si>
  <si>
    <r>
      <rPr>
        <b/>
        <sz val="11"/>
        <color theme="1"/>
        <rFont val="Calibri"/>
        <family val="2"/>
        <scheme val="minor"/>
      </rPr>
      <t>Alla FAMIGLIA</t>
    </r>
    <r>
      <rPr>
        <sz val="11"/>
        <color theme="1"/>
        <rFont val="Calibri"/>
        <family val="2"/>
        <scheme val="minor"/>
      </rPr>
      <t xml:space="preserve"> lo Stato chiede dopo le tasse di pagare euro …</t>
    </r>
  </si>
  <si>
    <r>
      <rPr>
        <b/>
        <sz val="11"/>
        <color theme="1"/>
        <rFont val="Calibri"/>
        <family val="2"/>
        <scheme val="minor"/>
      </rPr>
      <t>Il COSTO MEDIO STUDENTE</t>
    </r>
    <r>
      <rPr>
        <sz val="11"/>
        <color theme="1"/>
        <rFont val="Calibri"/>
        <family val="2"/>
        <scheme val="minor"/>
      </rPr>
      <t xml:space="preserve"> è definito dal Miur, un parametro di "Retta simbolica"</t>
    </r>
  </si>
  <si>
    <r>
      <rPr>
        <b/>
        <sz val="11"/>
        <color theme="1"/>
        <rFont val="Calibri"/>
        <family val="2"/>
        <scheme val="minor"/>
      </rPr>
      <t>I CONTRIBUTI</t>
    </r>
    <r>
      <rPr>
        <sz val="11"/>
        <color theme="1"/>
        <rFont val="Calibri"/>
        <family val="2"/>
        <scheme val="minor"/>
      </rPr>
      <t xml:space="preserve"> che si ricevono ad oggi di 512 Mln di euro sono cosi distribuiti e non sono ancora pervenuti per a.s.2019/2020/BRICIOLE </t>
    </r>
  </si>
  <si>
    <t>contributo con la detrazione del 19% (IN ESSERE)</t>
  </si>
  <si>
    <r>
      <t>Contributi Ministeriali per emerg. COVID-19 180 Ml solo per Allievi Sc. Infanzia/</t>
    </r>
    <r>
      <rPr>
        <b/>
        <sz val="11"/>
        <color rgb="FF002060"/>
        <rFont val="Calibri"/>
        <family val="2"/>
        <scheme val="minor"/>
      </rPr>
      <t>120 Mln per gli altri corsi</t>
    </r>
  </si>
  <si>
    <t>Totale contributo DL RlLANCIO 300 Mln</t>
  </si>
  <si>
    <t xml:space="preserve">BORSE DI STUDIO DELLA CEI N. 20 Mila per Isee &lt;= 25 Mila euro </t>
  </si>
  <si>
    <t>Grado di scuola</t>
  </si>
  <si>
    <t>fasce ISEE</t>
  </si>
  <si>
    <t>contributo</t>
  </si>
  <si>
    <t>0 - 8.000</t>
  </si>
  <si>
    <t>8.001 - 16.000</t>
  </si>
  <si>
    <t>16.001 - 28.000</t>
  </si>
  <si>
    <t>28.001 - 40.000</t>
  </si>
  <si>
    <t>SECONDARIA DI PRIMO GRADO</t>
  </si>
  <si>
    <t>SECONDARIA DI SECONDO GRADO</t>
  </si>
  <si>
    <t>Totale Stanziamenti</t>
  </si>
  <si>
    <t>27 ml</t>
  </si>
  <si>
    <t xml:space="preserve">DOTE SCUOLA PER ALLIEVI CON ISEE &lt;=28 Mila euro </t>
  </si>
  <si>
    <t xml:space="preserve">A carico della FAMIGLIA </t>
  </si>
  <si>
    <t>CONTRIBUTO COMUNE DI MILANO</t>
  </si>
  <si>
    <t>DISABILITA'</t>
  </si>
  <si>
    <t>COMUNE DI MILANO</t>
  </si>
  <si>
    <t>REGIONE LOMBARDIA</t>
  </si>
  <si>
    <r>
      <rPr>
        <b/>
        <sz val="11"/>
        <color theme="1"/>
        <rFont val="Calibri"/>
        <family val="2"/>
        <scheme val="minor"/>
      </rPr>
      <t>IL CONTRIBUTO DEL COMUNE DI MILANO</t>
    </r>
    <r>
      <rPr>
        <sz val="11"/>
        <color theme="1"/>
        <rFont val="Calibri"/>
        <family val="2"/>
        <scheme val="minor"/>
      </rPr>
      <t xml:space="preserve">  a prescindere dall'ISEE</t>
    </r>
  </si>
  <si>
    <r>
      <rPr>
        <b/>
        <sz val="11"/>
        <color theme="1"/>
        <rFont val="Calibri"/>
        <family val="2"/>
        <scheme val="minor"/>
      </rPr>
      <t>Il DECRETO RILANCIO</t>
    </r>
    <r>
      <rPr>
        <sz val="11"/>
        <color theme="1"/>
        <rFont val="Calibri"/>
        <family val="2"/>
        <scheme val="minor"/>
      </rPr>
      <t xml:space="preserve"> per le scuole dell'Infanzia destina euro 180 Mln e 120 Mln per gli altri corsi</t>
    </r>
  </si>
  <si>
    <t>F)</t>
  </si>
  <si>
    <t>G)</t>
  </si>
  <si>
    <t>sino a 25 Mila euro di ISEE le Famiglie ricevono la Borsa di Studio della CEI</t>
  </si>
  <si>
    <t>A fronte di un ISEE &lt; = a 28 Mila euro la dote scuola di Regione Lombardia è pari a euro …</t>
  </si>
  <si>
    <t>F</t>
  </si>
  <si>
    <t>G</t>
  </si>
  <si>
    <t>H</t>
  </si>
  <si>
    <t>I</t>
  </si>
  <si>
    <t xml:space="preserve">SE IL REDDITO DELLA FAMIGIA E' INFERIORE = A 28 Mila euro </t>
  </si>
  <si>
    <t>C1</t>
  </si>
  <si>
    <t>CONTRIBUTO DI REGIONE LOMBARDIA FISSO</t>
  </si>
  <si>
    <t>DOTE SCUOLE DI REGIONE LOMBARDIA</t>
  </si>
  <si>
    <t>PER A.S. 2020/2021 PER GLI ALLIEVI CHE FREQUENTANO LE SCUOLE IN REGIONE LOMBARDIA</t>
  </si>
  <si>
    <t>AIUTI EXTRA CAUSA COVID-19</t>
  </si>
  <si>
    <t>B1</t>
  </si>
  <si>
    <t>CONTRIBUTI FISSI DEL MIUR - REGIONE -COMUNE</t>
  </si>
  <si>
    <t xml:space="preserve">milioni stanziati per gli studenti disabili sono stati così ripartiti: 12,5 per le scuole dell’infanzia (come da DM MIUR) e 7,8 milioni per gli altri ordini. </t>
  </si>
  <si>
    <t>Contributi Ministeriali 512 Mln (ORDINARI STANZIATI)</t>
  </si>
  <si>
    <t>(fasce ISEE)</t>
  </si>
  <si>
    <t xml:space="preserve">  &lt; 8.000</t>
  </si>
  <si>
    <t>8.001-16.000</t>
  </si>
  <si>
    <t>28.001-40.000</t>
  </si>
  <si>
    <t>16.001-25.000</t>
  </si>
  <si>
    <t>25.001-28.000</t>
  </si>
  <si>
    <t>Borse di studio CEI</t>
  </si>
  <si>
    <t>Contributo Comune</t>
  </si>
  <si>
    <t xml:space="preserve">Iscrizione </t>
  </si>
  <si>
    <t xml:space="preserve">Secondaria
di I grado </t>
  </si>
  <si>
    <t>Contributo richiesto alla famiglia</t>
  </si>
  <si>
    <t xml:space="preserve">Secondaria
di II grado </t>
  </si>
  <si>
    <t>Costo  medio per studente * (CSM)</t>
  </si>
  <si>
    <t>Costo medio studente **
MIUR</t>
  </si>
  <si>
    <t>Contributi Ministeriali</t>
  </si>
  <si>
    <t>Detrazione del 19% IRPEF</t>
  </si>
  <si>
    <t>Contributo emergenza covid_180Mln</t>
  </si>
  <si>
    <t>Contributo emergenza covid_120Mln</t>
  </si>
  <si>
    <t xml:space="preserve">a.s. 2020 / 2021 </t>
  </si>
  <si>
    <t>Costo Aziendale</t>
  </si>
  <si>
    <t>MIUR</t>
  </si>
  <si>
    <t>Glip assegna 24 ore di sostegno</t>
  </si>
  <si>
    <t>€ 806 cad ora</t>
  </si>
  <si>
    <t xml:space="preserve">Dote scuola </t>
  </si>
  <si>
    <t>Un docente di 24 ore costo</t>
  </si>
  <si>
    <t>CCNL Agidae</t>
  </si>
  <si>
    <t>COMUNE MILANO</t>
  </si>
  <si>
    <t>Contributo emergenza covid_2.500.000 Comune di MILANO</t>
  </si>
  <si>
    <t>Costo Standard di sostenibilità per allievo, senza disabile ***</t>
  </si>
  <si>
    <t>Retta Trimesrale</t>
  </si>
  <si>
    <t>Retta trimestrale</t>
  </si>
  <si>
    <t>Retta Trimestrale</t>
  </si>
  <si>
    <t>Contributi DAD - DL Cura Italia</t>
  </si>
  <si>
    <t>Contributi DAD - Dl Cura Italia</t>
  </si>
  <si>
    <t>Contributi DAD-Dl Cura Italia</t>
  </si>
  <si>
    <t>Chiesa Ambrosiana destina 2 Mln dell'8 per mille -13.431 allievi</t>
  </si>
  <si>
    <t xml:space="preserve">SCUOLA DI  MILANO </t>
  </si>
  <si>
    <t xml:space="preserve">SCUOLA/Collaborazione Pubblico e Privato </t>
  </si>
  <si>
    <t>10.001-20.000</t>
  </si>
  <si>
    <t>20.001-26.000</t>
  </si>
  <si>
    <t>20.001-25.000</t>
  </si>
  <si>
    <t>25.001-26.000</t>
  </si>
  <si>
    <t xml:space="preserve">REGIONE LIGURIA </t>
  </si>
  <si>
    <t>Retta annuale CMS *</t>
  </si>
  <si>
    <t>Retta annuale CMS*</t>
  </si>
  <si>
    <t>Contributo emergenza covid  Regione LIGURIA - 2,8 Mln</t>
  </si>
  <si>
    <t xml:space="preserve">SCUOLA DI  FOGGIA </t>
  </si>
  <si>
    <t>Costo Medio Studente annuale</t>
  </si>
  <si>
    <t>Contributo emergenza covid_219 Mila euro Comune di FOGGIA</t>
  </si>
  <si>
    <t>Contributo  Regione PUGLIA     (L. 31/09),       800 Mln pari a 900 euro a sezione</t>
  </si>
  <si>
    <t>Contributo  Regione PUGLIA    emergenza COVID (L. 31/09),       300 Mln pari a 200 euro a sezione</t>
  </si>
  <si>
    <t>Intervento Regione- Emergenza COVID</t>
  </si>
  <si>
    <t>INFANZIA</t>
  </si>
  <si>
    <t>SC.SECONDARIA I^</t>
  </si>
  <si>
    <t>SC.SECONDARIA II^</t>
  </si>
  <si>
    <t>Numero Scuole</t>
  </si>
  <si>
    <t>Allievi</t>
  </si>
  <si>
    <t>STATALE</t>
  </si>
  <si>
    <t>PARITARIA</t>
  </si>
  <si>
    <t>TOTALE</t>
  </si>
  <si>
    <t>Contributo emergenza covid Comune di FOGGIA</t>
  </si>
  <si>
    <t>Contributo Comune di ARONA</t>
  </si>
  <si>
    <t>NON PERVENUTI</t>
  </si>
  <si>
    <t>Contributo richiesto alla famiglia e alla Scuola</t>
  </si>
  <si>
    <t xml:space="preserve">Contributo Comune </t>
  </si>
  <si>
    <t>COMUNE …</t>
  </si>
  <si>
    <t>FINANZIAMENTO DISABILITA' PER LA SCUOLA INFANZIA PARITARIA</t>
  </si>
  <si>
    <t>FINANZIAMENTO DISABILITA' SCUOLE PRIMARIA - SECONDARIA DI I E DI II GRADO PARITARIE</t>
  </si>
  <si>
    <t>LOMBARDIA</t>
  </si>
  <si>
    <t>LIGURIA</t>
  </si>
  <si>
    <t>PIEMONTE</t>
  </si>
  <si>
    <t>PUGLIA</t>
  </si>
  <si>
    <t>possia</t>
  </si>
  <si>
    <t>Costo Standard di sostenibilità per allievo, senza disabile **</t>
  </si>
  <si>
    <t>Costo stanard "Il diritto di Apprendere. Nuove linee di investimento. Ed. Giappichelli 2015</t>
  </si>
  <si>
    <t>a.s. 2018/2019</t>
  </si>
  <si>
    <t xml:space="preserve">B) </t>
  </si>
  <si>
    <t>restano a carico della FAMIGLIA  che paga due volte e della SCUOLA  che si indebita</t>
  </si>
  <si>
    <t xml:space="preserve">  &lt; 10.000</t>
  </si>
  <si>
    <t>In questa Tabella si riportano gli importi secondo il Costo Medio Studente definito dallo Stato che al netto degli aiuti Ministeriali e che qualche Regione Virutosa eroga accanto alla CEI</t>
  </si>
  <si>
    <t>In questa Tabella si riportano gli importi secondo il Costo Medio Studente definito dallo Stato che al netto degli aiuti Ministeriali e che qualche Regione Virutosa eroga accanto alla CeEI</t>
  </si>
  <si>
    <t>Buono Scuola - Regione VENETO</t>
  </si>
  <si>
    <t>Buono Scuola- Regione VENETO</t>
  </si>
  <si>
    <t>8.001-15.000</t>
  </si>
  <si>
    <t>15.001-30.000</t>
  </si>
  <si>
    <t>30.001-40.000</t>
  </si>
  <si>
    <t>VENETO</t>
  </si>
  <si>
    <t>% incid paritarie</t>
  </si>
  <si>
    <t>Borse di Studio- REGIONE LIGURIA</t>
  </si>
  <si>
    <t>Borse di Studio -  REGIONE LIGURIA</t>
  </si>
  <si>
    <t>Borse di Studio - REGIONE LIGURIA</t>
  </si>
  <si>
    <t>Voucher Scuola - Regione PIEMONTE</t>
  </si>
  <si>
    <t>Voucher Scuola -  Regione PIEMONTE</t>
  </si>
  <si>
    <r>
      <t xml:space="preserve">Ø </t>
    </r>
    <r>
      <rPr>
        <b/>
        <sz val="11"/>
        <color theme="1"/>
        <rFont val="Times New Roman"/>
        <family val="1"/>
      </rPr>
      <t>40.001</t>
    </r>
  </si>
  <si>
    <r>
      <t xml:space="preserve">Costo non coperto/ </t>
    </r>
    <r>
      <rPr>
        <sz val="11"/>
        <color rgb="FFFF0000"/>
        <rFont val="Times New Roman"/>
        <family val="1"/>
      </rPr>
      <t>Chi paga?</t>
    </r>
  </si>
  <si>
    <r>
      <t xml:space="preserve"> </t>
    </r>
    <r>
      <rPr>
        <b/>
        <sz val="11"/>
        <color theme="1"/>
        <rFont val="Times New Roman"/>
        <family val="1"/>
      </rPr>
      <t>40.001-50.000</t>
    </r>
  </si>
  <si>
    <t>Ø 26000</t>
  </si>
  <si>
    <t>Dote Scuola - Regione LOMBARDIA</t>
  </si>
  <si>
    <t>Dote Scuola -  Regione LOMBARDIA</t>
  </si>
  <si>
    <t>REGIONE  PUGLIA</t>
  </si>
  <si>
    <t xml:space="preserve"> REGIONE PUGLIA</t>
  </si>
  <si>
    <t>Contributo Comune FOGGIA</t>
  </si>
  <si>
    <t>Contributi DAD - DL Cura Italia              2Mln</t>
  </si>
  <si>
    <t>Contributi DAD - DL Cura Italia       2Mln</t>
  </si>
  <si>
    <t>Contributi DAD - DL Cura Italia         2Mln</t>
  </si>
  <si>
    <t>Contributi DAD - DL Cura Italia        2Mln</t>
  </si>
  <si>
    <t>Contributi DAD - Dl Cura Italia           2Mln</t>
  </si>
  <si>
    <t>Contributi DAD-Dl Cura Italia             2Mln</t>
  </si>
  <si>
    <t>Contributi DAD - DL Cura Italia       0</t>
  </si>
  <si>
    <t>Contributi DAD - DL Cura Italia            0</t>
  </si>
  <si>
    <t>Contributi DAD - DL Cura Italia                                0</t>
  </si>
  <si>
    <t>Contributi DAD - DL Cura Italia                 2Mln</t>
  </si>
  <si>
    <t>Contributi DAD - DL Cura Italia                     0</t>
  </si>
  <si>
    <t>Contributi DAD - DL Cura Italia                              2Mln</t>
  </si>
  <si>
    <t>Contributi DAD - Dl Cura Italia                2Mln</t>
  </si>
  <si>
    <t>Contributi DAD-Dl Cura Italia               2Mln</t>
  </si>
  <si>
    <t>15.001-25.000</t>
  </si>
  <si>
    <t>25.001-30.000</t>
  </si>
  <si>
    <t xml:space="preserve">               SCUOLA DI ARONA</t>
  </si>
  <si>
    <t xml:space="preserve">Contributo emergenza covid Comune </t>
  </si>
  <si>
    <r>
      <rPr>
        <b/>
        <i/>
        <sz val="11"/>
        <color rgb="FFFF0000"/>
        <rFont val="Times New Roman"/>
        <family val="1"/>
      </rPr>
      <t>N.B.</t>
    </r>
    <r>
      <rPr>
        <i/>
        <sz val="11"/>
        <color theme="1"/>
        <rFont val="Times New Roman"/>
        <family val="1"/>
      </rPr>
      <t xml:space="preserve"> </t>
    </r>
    <r>
      <rPr>
        <i/>
        <sz val="11"/>
        <color rgb="FFFF0000"/>
        <rFont val="Times New Roman"/>
        <family val="1"/>
      </rPr>
      <t>1)</t>
    </r>
    <r>
      <rPr>
        <i/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L'Iscrizione</t>
    </r>
    <r>
      <rPr>
        <i/>
        <sz val="11"/>
        <color theme="1"/>
        <rFont val="Times New Roman"/>
        <family val="1"/>
      </rPr>
      <t xml:space="preserve"> è una somma richiesta ai genitori anche nella Scuola STATALE (ben superiore per alcune); </t>
    </r>
  </si>
  <si>
    <r>
      <t xml:space="preserve">Per gli allievi </t>
    </r>
    <r>
      <rPr>
        <b/>
        <sz val="11"/>
        <color rgb="FFFF0000"/>
        <rFont val="Times New Roman"/>
        <family val="1"/>
      </rPr>
      <t>disabili</t>
    </r>
    <r>
      <rPr>
        <b/>
        <sz val="11"/>
        <color theme="1"/>
        <rFont val="Times New Roman"/>
        <family val="1"/>
      </rPr>
      <t xml:space="preserve"> il Buono Scuola in Regione VENETO come sopra è concesso con una Fascia ISEE che arriva sino a +60 Mila euro </t>
    </r>
  </si>
  <si>
    <r>
      <t xml:space="preserve">         </t>
    </r>
    <r>
      <rPr>
        <sz val="11"/>
        <color rgb="FFFF0000"/>
        <rFont val="Times New Roman"/>
        <family val="1"/>
      </rPr>
      <t>2)</t>
    </r>
    <r>
      <rPr>
        <sz val="11"/>
        <color theme="1"/>
        <rFont val="Times New Roman"/>
        <family val="1"/>
      </rPr>
      <t xml:space="preserve"> Si precisa che la dicitura "</t>
    </r>
    <r>
      <rPr>
        <b/>
        <sz val="11"/>
        <color theme="1"/>
        <rFont val="Times New Roman"/>
        <family val="1"/>
      </rPr>
      <t>Retta Trimestrale</t>
    </r>
    <r>
      <rPr>
        <sz val="11"/>
        <color theme="1"/>
        <rFont val="Times New Roman"/>
        <family val="1"/>
      </rPr>
      <t>" è puramente convenzionale in quanto nelle scuole si paga l' "Importo annuale" suddiviso in Tre Trimestralità.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</si>
</sst>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€&quot;\ * #,##0.00_-;\-&quot;€&quot;\ * #,##0.00_-;_-&quot;€&quot;\ * &quot;-&quot;??_-;_-@_-"/>
    <numFmt numFmtId="165" formatCode="[$€-2]\ #,##0.00;[Red]\-[$€-2]\ #,##0.00"/>
    <numFmt numFmtId="166" formatCode="&quot;€&quot;\ #,##0.00"/>
    <numFmt numFmtId="167" formatCode="0.0%"/>
    <numFmt numFmtId="168" formatCode="_-* #,##0\ &quot;€&quot;_-;\-* #,##0\ &quot;€&quot;_-;_-* &quot;-&quot;??\ &quot;€&quot;_-;_-@_-"/>
    <numFmt numFmtId="169" formatCode="_-&quot;€&quot;\ * #,##0_-;\-&quot;€&quot;\ * #,##0_-;_-&quot;€&quot;\ * &quot;-&quot;??_-;_-@_-"/>
    <numFmt numFmtId="170" formatCode="_-* #,##0.00\ [$€-410]_-;\-* #,##0.00\ [$€-410]_-;_-* &quot;-&quot;??\ [$€-410]_-;_-@_-"/>
    <numFmt numFmtId="171" formatCode="[$€-2]\ #,##0;[Red]\-[$€-2]\ #,##0"/>
    <numFmt numFmtId="172" formatCode="&quot;€&quot;\ #,##0"/>
    <numFmt numFmtId="173" formatCode="_-* #,##0\ _€_-;\-* #,##0\ _€_-;_-* &quot;-&quot;??\ _€_-;_-@_-"/>
  </numFmts>
  <fonts count="10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 Light"/>
      <family val="2"/>
      <scheme val="major"/>
    </font>
    <font>
      <b/>
      <sz val="14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4"/>
      <color theme="0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b/>
      <sz val="20"/>
      <color theme="0"/>
      <name val="Calibri"/>
      <family val="2"/>
      <scheme val="minor"/>
    </font>
    <font>
      <b/>
      <sz val="11"/>
      <color rgb="FF474747"/>
      <name val="PT Serif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5"/>
      <color rgb="FF000000"/>
      <name val="Calibri"/>
      <family val="2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b/>
      <sz val="15"/>
      <color rgb="FFFFFFFF"/>
      <name val="Calibri"/>
      <family val="2"/>
    </font>
    <font>
      <i/>
      <sz val="12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rgb="FF002060"/>
      <name val="Arial Nova"/>
      <family val="2"/>
    </font>
    <font>
      <b/>
      <i/>
      <sz val="18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Arial Rounded MT Bold"/>
      <family val="2"/>
    </font>
    <font>
      <b/>
      <u/>
      <sz val="11"/>
      <name val="Calibri"/>
      <family val="2"/>
      <scheme val="minor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0"/>
      <name val="Times New Roman"/>
      <family val="1"/>
    </font>
    <font>
      <b/>
      <u/>
      <sz val="11"/>
      <name val="Times New Roman"/>
      <family val="1"/>
    </font>
    <font>
      <u/>
      <sz val="11"/>
      <color theme="10"/>
      <name val="Times New Roman"/>
      <family val="1"/>
    </font>
    <font>
      <b/>
      <i/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sz val="16"/>
      <color theme="1"/>
      <name val="Times New Roman"/>
      <family val="1"/>
    </font>
    <font>
      <sz val="16"/>
      <color theme="0"/>
      <name val="Times New Roman"/>
      <family val="1"/>
    </font>
    <font>
      <sz val="11"/>
      <color rgb="FF002060"/>
      <name val="Times New Roman"/>
      <family val="1"/>
    </font>
    <font>
      <b/>
      <sz val="11"/>
      <color rgb="FF002060"/>
      <name val="Times New Roman"/>
      <family val="1"/>
    </font>
    <font>
      <sz val="18"/>
      <color theme="1"/>
      <name val="Calibri"/>
      <family val="2"/>
      <scheme val="minor"/>
    </font>
    <font>
      <sz val="18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b/>
      <u/>
      <sz val="11"/>
      <color rgb="FF00206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DDE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FFDC97"/>
        <bgColor indexed="64"/>
      </patternFill>
    </fill>
    <fill>
      <patternFill patternType="solid">
        <fgColor rgb="FFFFCDE6"/>
        <bgColor indexed="64"/>
      </patternFill>
    </fill>
    <fill>
      <patternFill patternType="solid">
        <fgColor rgb="FFB7E7FF"/>
        <bgColor indexed="64"/>
      </patternFill>
    </fill>
    <fill>
      <patternFill patternType="solid">
        <fgColor rgb="FFABC7FF"/>
        <bgColor indexed="64"/>
      </patternFill>
    </fill>
  </fills>
  <borders count="1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double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auto="1"/>
      </left>
      <right/>
      <top style="medium">
        <color indexed="64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rgb="FFFF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auto="1"/>
      </left>
      <right style="medium">
        <color rgb="FFFF0000"/>
      </right>
      <top style="medium">
        <color indexed="64"/>
      </top>
      <bottom style="dotted">
        <color auto="1"/>
      </bottom>
      <diagonal/>
    </border>
    <border>
      <left style="medium">
        <color rgb="FFFF0000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rgb="FFFF0000"/>
      </right>
      <top style="dotted">
        <color auto="1"/>
      </top>
      <bottom/>
      <diagonal/>
    </border>
    <border>
      <left style="medium">
        <color indexed="64"/>
      </left>
      <right style="medium">
        <color rgb="FFFF0000"/>
      </right>
      <top/>
      <bottom/>
      <diagonal/>
    </border>
    <border>
      <left style="medium">
        <color indexed="64"/>
      </left>
      <right style="medium">
        <color rgb="FFFF0000"/>
      </right>
      <top/>
      <bottom style="dotted">
        <color auto="1"/>
      </bottom>
      <diagonal/>
    </border>
    <border>
      <left style="medium">
        <color rgb="FFFF0000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/>
      <right/>
      <top style="medium">
        <color rgb="FF002060"/>
      </top>
      <bottom style="hair">
        <color rgb="FF002060"/>
      </bottom>
      <diagonal/>
    </border>
    <border>
      <left/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auto="1"/>
      </right>
      <top style="hair">
        <color rgb="FF002060"/>
      </top>
      <bottom style="hair">
        <color rgb="FF002060"/>
      </bottom>
      <diagonal/>
    </border>
    <border>
      <left style="medium">
        <color auto="1"/>
      </left>
      <right style="medium">
        <color auto="1"/>
      </right>
      <top style="hair">
        <color rgb="FF002060"/>
      </top>
      <bottom style="hair">
        <color rgb="FF002060"/>
      </bottom>
      <diagonal/>
    </border>
    <border>
      <left style="medium">
        <color auto="1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indexed="64"/>
      </right>
      <top style="hair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hair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auto="1"/>
      </right>
      <top/>
      <bottom style="hair">
        <color rgb="FF002060"/>
      </bottom>
      <diagonal/>
    </border>
    <border>
      <left style="medium">
        <color auto="1"/>
      </left>
      <right style="medium">
        <color auto="1"/>
      </right>
      <top/>
      <bottom style="hair">
        <color rgb="FF002060"/>
      </bottom>
      <diagonal/>
    </border>
    <border>
      <left style="medium">
        <color auto="1"/>
      </left>
      <right style="medium">
        <color rgb="FF002060"/>
      </right>
      <top/>
      <bottom style="hair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rgb="FFFF0000"/>
      </right>
      <top style="hair">
        <color auto="1"/>
      </top>
      <bottom style="medium">
        <color auto="1"/>
      </bottom>
      <diagonal/>
    </border>
    <border>
      <left style="medium">
        <color theme="5" tint="-0.24994659260841701"/>
      </left>
      <right/>
      <top style="hair">
        <color auto="1"/>
      </top>
      <bottom style="medium">
        <color auto="1"/>
      </bottom>
      <diagonal/>
    </border>
    <border>
      <left style="medium">
        <color theme="5" tint="-0.2499465926084170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medium">
        <color theme="5" tint="-0.2499465926084170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theme="5" tint="-0.2499465926084170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rgb="FFFF0000"/>
      </right>
      <top/>
      <bottom/>
      <diagonal/>
    </border>
    <border>
      <left style="medium">
        <color theme="5" tint="-0.24994659260841701"/>
      </left>
      <right style="medium">
        <color indexed="64"/>
      </right>
      <top/>
      <bottom/>
      <diagonal/>
    </border>
    <border>
      <left style="medium">
        <color theme="5" tint="-0.24994659260841701"/>
      </left>
      <right style="medium">
        <color indexed="64"/>
      </right>
      <top/>
      <bottom style="medium">
        <color theme="5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rgb="FFFF0000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hair">
        <color auto="1"/>
      </bottom>
      <diagonal/>
    </border>
    <border>
      <left/>
      <right/>
      <top style="medium">
        <color theme="5" tint="-0.24994659260841701"/>
      </top>
      <bottom style="hair">
        <color auto="1"/>
      </bottom>
      <diagonal/>
    </border>
    <border>
      <left/>
      <right style="medium">
        <color rgb="FFFF0000"/>
      </right>
      <top style="medium">
        <color theme="5" tint="-0.24994659260841701"/>
      </top>
      <bottom style="hair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</borders>
  <cellStyleXfs count="4">
    <xf numFmtId="0" fontId="0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3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0" xfId="0" applyNumberFormat="1"/>
    <xf numFmtId="164" fontId="0" fillId="2" borderId="1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0" borderId="0" xfId="0" applyFont="1"/>
    <xf numFmtId="3" fontId="1" fillId="0" borderId="0" xfId="0" applyNumberFormat="1" applyFont="1"/>
    <xf numFmtId="164" fontId="1" fillId="3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5" xfId="0" applyFont="1" applyBorder="1" applyAlignment="1"/>
    <xf numFmtId="3" fontId="2" fillId="0" borderId="0" xfId="0" applyNumberFormat="1" applyFont="1" applyBorder="1" applyAlignment="1"/>
    <xf numFmtId="164" fontId="2" fillId="0" borderId="6" xfId="0" applyNumberFormat="1" applyFont="1" applyBorder="1" applyAlignment="1"/>
    <xf numFmtId="164" fontId="2" fillId="0" borderId="7" xfId="0" applyNumberFormat="1" applyFont="1" applyBorder="1" applyAlignment="1"/>
    <xf numFmtId="0" fontId="2" fillId="0" borderId="0" xfId="0" applyFont="1" applyBorder="1" applyAlignment="1"/>
    <xf numFmtId="164" fontId="3" fillId="0" borderId="6" xfId="0" applyNumberFormat="1" applyFont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0" xfId="0" applyFont="1"/>
    <xf numFmtId="0" fontId="4" fillId="0" borderId="0" xfId="0" applyFont="1" applyFill="1"/>
    <xf numFmtId="0" fontId="0" fillId="6" borderId="0" xfId="0" applyFill="1"/>
    <xf numFmtId="164" fontId="1" fillId="6" borderId="0" xfId="0" applyNumberFormat="1" applyFont="1" applyFill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7" borderId="5" xfId="0" applyFill="1" applyBorder="1"/>
    <xf numFmtId="3" fontId="0" fillId="7" borderId="0" xfId="0" applyNumberFormat="1" applyFill="1" applyBorder="1"/>
    <xf numFmtId="165" fontId="0" fillId="7" borderId="6" xfId="0" applyNumberFormat="1" applyFill="1" applyBorder="1"/>
    <xf numFmtId="0" fontId="0" fillId="8" borderId="5" xfId="0" applyFill="1" applyBorder="1"/>
    <xf numFmtId="3" fontId="0" fillId="8" borderId="0" xfId="0" applyNumberFormat="1" applyFill="1" applyBorder="1"/>
    <xf numFmtId="165" fontId="0" fillId="8" borderId="7" xfId="0" applyNumberFormat="1" applyFill="1" applyBorder="1"/>
    <xf numFmtId="0" fontId="1" fillId="2" borderId="0" xfId="0" applyFont="1" applyFill="1"/>
    <xf numFmtId="0" fontId="6" fillId="0" borderId="5" xfId="0" applyFont="1" applyBorder="1"/>
    <xf numFmtId="0" fontId="6" fillId="0" borderId="0" xfId="0" applyFont="1" applyBorder="1"/>
    <xf numFmtId="8" fontId="6" fillId="0" borderId="6" xfId="0" applyNumberFormat="1" applyFont="1" applyBorder="1"/>
    <xf numFmtId="0" fontId="7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9" fontId="5" fillId="0" borderId="0" xfId="0" applyNumberFormat="1" applyFont="1" applyAlignment="1">
      <alignment horizontal="center" vertical="center"/>
    </xf>
    <xf numFmtId="0" fontId="9" fillId="0" borderId="0" xfId="0" applyFont="1"/>
    <xf numFmtId="0" fontId="0" fillId="0" borderId="0" xfId="0" applyFont="1"/>
    <xf numFmtId="44" fontId="0" fillId="0" borderId="0" xfId="0" applyNumberFormat="1" applyFont="1"/>
    <xf numFmtId="44" fontId="0" fillId="0" borderId="1" xfId="0" applyNumberFormat="1" applyFont="1" applyBorder="1"/>
    <xf numFmtId="0" fontId="2" fillId="0" borderId="0" xfId="0" applyFont="1"/>
    <xf numFmtId="0" fontId="10" fillId="4" borderId="11" xfId="0" applyFont="1" applyFill="1" applyBorder="1"/>
    <xf numFmtId="0" fontId="10" fillId="0" borderId="12" xfId="0" applyFont="1" applyBorder="1"/>
    <xf numFmtId="44" fontId="12" fillId="0" borderId="12" xfId="0" applyNumberFormat="1" applyFont="1" applyBorder="1" applyAlignment="1">
      <alignment horizontal="center" vertical="center" readingOrder="1"/>
    </xf>
    <xf numFmtId="44" fontId="10" fillId="0" borderId="12" xfId="0" applyNumberFormat="1" applyFont="1" applyBorder="1"/>
    <xf numFmtId="0" fontId="10" fillId="0" borderId="1" xfId="0" applyFont="1" applyBorder="1"/>
    <xf numFmtId="44" fontId="12" fillId="0" borderId="1" xfId="0" applyNumberFormat="1" applyFont="1" applyBorder="1" applyAlignment="1">
      <alignment horizontal="center" vertical="center" readingOrder="1"/>
    </xf>
    <xf numFmtId="44" fontId="10" fillId="0" borderId="1" xfId="0" applyNumberFormat="1" applyFont="1" applyBorder="1"/>
    <xf numFmtId="0" fontId="11" fillId="4" borderId="0" xfId="0" applyFont="1" applyFill="1"/>
    <xf numFmtId="44" fontId="13" fillId="4" borderId="0" xfId="0" applyNumberFormat="1" applyFont="1" applyFill="1" applyAlignment="1">
      <alignment horizontal="center" vertical="center" readingOrder="1"/>
    </xf>
    <xf numFmtId="44" fontId="10" fillId="4" borderId="0" xfId="0" applyNumberFormat="1" applyFont="1" applyFill="1"/>
    <xf numFmtId="0" fontId="10" fillId="0" borderId="0" xfId="0" applyFont="1"/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1" fontId="12" fillId="4" borderId="11" xfId="0" applyNumberFormat="1" applyFont="1" applyFill="1" applyBorder="1" applyAlignment="1">
      <alignment horizontal="center" vertical="center" readingOrder="1"/>
    </xf>
    <xf numFmtId="1" fontId="10" fillId="4" borderId="11" xfId="0" applyNumberFormat="1" applyFont="1" applyFill="1" applyBorder="1"/>
    <xf numFmtId="0" fontId="11" fillId="0" borderId="0" xfId="0" applyFont="1" applyFill="1"/>
    <xf numFmtId="44" fontId="13" fillId="0" borderId="0" xfId="0" applyNumberFormat="1" applyFont="1" applyFill="1" applyAlignment="1">
      <alignment horizontal="center" vertical="center" readingOrder="1"/>
    </xf>
    <xf numFmtId="44" fontId="10" fillId="0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0" fontId="18" fillId="0" borderId="0" xfId="0" applyFont="1"/>
    <xf numFmtId="165" fontId="1" fillId="0" borderId="6" xfId="0" applyNumberFormat="1" applyFont="1" applyBorder="1"/>
    <xf numFmtId="165" fontId="1" fillId="0" borderId="7" xfId="0" applyNumberFormat="1" applyFont="1" applyBorder="1"/>
    <xf numFmtId="0" fontId="0" fillId="9" borderId="0" xfId="0" applyFill="1"/>
    <xf numFmtId="164" fontId="1" fillId="9" borderId="0" xfId="0" applyNumberFormat="1" applyFont="1" applyFill="1"/>
    <xf numFmtId="0" fontId="7" fillId="0" borderId="0" xfId="0" applyFont="1" applyBorder="1"/>
    <xf numFmtId="0" fontId="9" fillId="0" borderId="0" xfId="0" applyFont="1" applyBorder="1"/>
    <xf numFmtId="0" fontId="8" fillId="0" borderId="0" xfId="0" applyFont="1" applyBorder="1"/>
    <xf numFmtId="0" fontId="18" fillId="0" borderId="0" xfId="0" applyFont="1" applyBorder="1" applyAlignment="1">
      <alignment horizontal="left"/>
    </xf>
    <xf numFmtId="0" fontId="2" fillId="0" borderId="14" xfId="0" applyFont="1" applyBorder="1"/>
    <xf numFmtId="0" fontId="10" fillId="0" borderId="14" xfId="0" applyFont="1" applyBorder="1"/>
    <xf numFmtId="0" fontId="11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166" fontId="18" fillId="4" borderId="0" xfId="0" applyNumberFormat="1" applyFont="1" applyFill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0" fillId="7" borderId="0" xfId="0" applyNumberFormat="1" applyFont="1" applyFill="1" applyBorder="1"/>
    <xf numFmtId="165" fontId="0" fillId="8" borderId="0" xfId="0" applyNumberFormat="1" applyFont="1" applyFill="1" applyBorder="1"/>
    <xf numFmtId="2" fontId="15" fillId="8" borderId="15" xfId="0" applyNumberFormat="1" applyFont="1" applyFill="1" applyBorder="1" applyAlignment="1">
      <alignment horizontal="center" vertical="center"/>
    </xf>
    <xf numFmtId="2" fontId="15" fillId="7" borderId="15" xfId="0" applyNumberFormat="1" applyFont="1" applyFill="1" applyBorder="1" applyAlignment="1">
      <alignment horizontal="center" vertical="center"/>
    </xf>
    <xf numFmtId="166" fontId="15" fillId="8" borderId="15" xfId="0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0" xfId="0" applyFill="1" applyBorder="1" applyAlignment="1">
      <alignment horizontal="center"/>
    </xf>
    <xf numFmtId="0" fontId="23" fillId="0" borderId="0" xfId="0" applyFont="1"/>
    <xf numFmtId="3" fontId="16" fillId="0" borderId="0" xfId="0" applyNumberFormat="1" applyFont="1"/>
    <xf numFmtId="0" fontId="24" fillId="0" borderId="0" xfId="0" applyFont="1"/>
    <xf numFmtId="3" fontId="1" fillId="0" borderId="8" xfId="0" applyNumberFormat="1" applyFont="1" applyBorder="1"/>
    <xf numFmtId="3" fontId="6" fillId="0" borderId="10" xfId="0" applyNumberFormat="1" applyFont="1" applyBorder="1" applyAlignment="1">
      <alignment vertical="center"/>
    </xf>
    <xf numFmtId="0" fontId="25" fillId="0" borderId="0" xfId="0" applyFont="1"/>
    <xf numFmtId="3" fontId="20" fillId="0" borderId="0" xfId="0" applyNumberFormat="1" applyFont="1"/>
    <xf numFmtId="0" fontId="1" fillId="0" borderId="2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167" fontId="21" fillId="0" borderId="0" xfId="1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0" fillId="0" borderId="0" xfId="0" applyNumberFormat="1" applyBorder="1"/>
    <xf numFmtId="3" fontId="1" fillId="0" borderId="0" xfId="0" applyNumberFormat="1" applyFont="1" applyBorder="1" applyAlignment="1">
      <alignment vertical="center"/>
    </xf>
    <xf numFmtId="167" fontId="21" fillId="0" borderId="9" xfId="1" applyNumberFormat="1" applyFont="1" applyBorder="1" applyAlignment="1">
      <alignment vertical="center"/>
    </xf>
    <xf numFmtId="167" fontId="1" fillId="0" borderId="4" xfId="1" applyNumberFormat="1" applyFont="1" applyBorder="1" applyAlignment="1">
      <alignment vertical="center"/>
    </xf>
    <xf numFmtId="167" fontId="1" fillId="0" borderId="6" xfId="1" applyNumberFormat="1" applyFont="1" applyBorder="1" applyAlignment="1">
      <alignment vertical="center"/>
    </xf>
    <xf numFmtId="0" fontId="0" fillId="0" borderId="6" xfId="0" applyBorder="1"/>
    <xf numFmtId="3" fontId="1" fillId="0" borderId="2" xfId="0" applyNumberFormat="1" applyFont="1" applyBorder="1" applyAlignment="1">
      <alignment vertical="center"/>
    </xf>
    <xf numFmtId="167" fontId="21" fillId="0" borderId="5" xfId="1" applyNumberFormat="1" applyFont="1" applyBorder="1" applyAlignment="1">
      <alignment vertical="center"/>
    </xf>
    <xf numFmtId="3" fontId="0" fillId="0" borderId="5" xfId="0" applyNumberFormat="1" applyBorder="1"/>
    <xf numFmtId="3" fontId="0" fillId="0" borderId="6" xfId="0" applyNumberFormat="1" applyBorder="1"/>
    <xf numFmtId="3" fontId="1" fillId="0" borderId="5" xfId="0" applyNumberFormat="1" applyFont="1" applyBorder="1" applyAlignment="1">
      <alignment vertical="center"/>
    </xf>
    <xf numFmtId="167" fontId="21" fillId="0" borderId="8" xfId="1" applyNumberFormat="1" applyFont="1" applyBorder="1" applyAlignment="1">
      <alignment vertical="center"/>
    </xf>
    <xf numFmtId="3" fontId="1" fillId="0" borderId="9" xfId="0" applyNumberFormat="1" applyFont="1" applyBorder="1"/>
    <xf numFmtId="0" fontId="1" fillId="0" borderId="0" xfId="0" applyFont="1" applyBorder="1"/>
    <xf numFmtId="3" fontId="1" fillId="0" borderId="14" xfId="0" applyNumberFormat="1" applyFont="1" applyBorder="1"/>
    <xf numFmtId="0" fontId="1" fillId="0" borderId="16" xfId="0" applyFont="1" applyBorder="1"/>
    <xf numFmtId="0" fontId="22" fillId="0" borderId="0" xfId="0" applyFont="1"/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/>
    </xf>
    <xf numFmtId="165" fontId="28" fillId="0" borderId="0" xfId="0" applyNumberFormat="1" applyFont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165" fontId="27" fillId="2" borderId="0" xfId="0" applyNumberFormat="1" applyFont="1" applyFill="1" applyBorder="1" applyAlignment="1">
      <alignment vertical="center"/>
    </xf>
    <xf numFmtId="0" fontId="16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29" fillId="2" borderId="0" xfId="0" applyFont="1" applyFill="1" applyBorder="1" applyAlignment="1">
      <alignment vertical="center"/>
    </xf>
    <xf numFmtId="165" fontId="28" fillId="0" borderId="0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0" fillId="10" borderId="0" xfId="0" applyFont="1" applyFill="1" applyBorder="1"/>
    <xf numFmtId="0" fontId="31" fillId="10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vertical="center"/>
    </xf>
    <xf numFmtId="0" fontId="32" fillId="10" borderId="0" xfId="0" applyFont="1" applyFill="1" applyBorder="1" applyAlignment="1">
      <alignment horizontal="center" vertical="center" wrapText="1"/>
    </xf>
    <xf numFmtId="0" fontId="33" fillId="10" borderId="0" xfId="0" applyFont="1" applyFill="1" applyBorder="1" applyAlignment="1">
      <alignment horizontal="center" vertical="center" wrapText="1"/>
    </xf>
    <xf numFmtId="0" fontId="34" fillId="11" borderId="0" xfId="0" applyFont="1" applyFill="1" applyBorder="1" applyAlignment="1">
      <alignment vertical="center"/>
    </xf>
    <xf numFmtId="1" fontId="34" fillId="11" borderId="0" xfId="0" applyNumberFormat="1" applyFont="1" applyFill="1" applyBorder="1" applyAlignment="1">
      <alignment horizontal="center" vertical="center" readingOrder="1"/>
    </xf>
    <xf numFmtId="0" fontId="32" fillId="12" borderId="0" xfId="0" applyFont="1" applyFill="1" applyBorder="1" applyAlignment="1">
      <alignment vertical="center"/>
    </xf>
    <xf numFmtId="44" fontId="32" fillId="12" borderId="0" xfId="0" applyNumberFormat="1" applyFont="1" applyFill="1" applyBorder="1" applyAlignment="1">
      <alignment horizontal="center" vertical="center" readingOrder="1"/>
    </xf>
    <xf numFmtId="0" fontId="34" fillId="13" borderId="0" xfId="0" applyFont="1" applyFill="1" applyAlignment="1">
      <alignment vertical="center"/>
    </xf>
    <xf numFmtId="168" fontId="34" fillId="13" borderId="0" xfId="0" applyNumberFormat="1" applyFont="1" applyFill="1" applyAlignment="1">
      <alignment vertical="center" readingOrder="1"/>
    </xf>
    <xf numFmtId="0" fontId="3" fillId="3" borderId="17" xfId="0" applyFont="1" applyFill="1" applyBorder="1"/>
    <xf numFmtId="0" fontId="2" fillId="3" borderId="17" xfId="0" applyFont="1" applyFill="1" applyBorder="1"/>
    <xf numFmtId="169" fontId="3" fillId="3" borderId="17" xfId="0" applyNumberFormat="1" applyFont="1" applyFill="1" applyBorder="1"/>
    <xf numFmtId="44" fontId="36" fillId="8" borderId="0" xfId="0" applyNumberFormat="1" applyFont="1" applyFill="1"/>
    <xf numFmtId="44" fontId="36" fillId="8" borderId="1" xfId="0" applyNumberFormat="1" applyFont="1" applyFill="1" applyBorder="1"/>
    <xf numFmtId="44" fontId="35" fillId="8" borderId="0" xfId="0" applyNumberFormat="1" applyFont="1" applyFill="1"/>
    <xf numFmtId="44" fontId="4" fillId="8" borderId="0" xfId="0" applyNumberFormat="1" applyFont="1" applyFill="1"/>
    <xf numFmtId="44" fontId="4" fillId="8" borderId="1" xfId="0" applyNumberFormat="1" applyFont="1" applyFill="1" applyBorder="1"/>
    <xf numFmtId="44" fontId="6" fillId="8" borderId="0" xfId="0" applyNumberFormat="1" applyFont="1" applyFill="1"/>
    <xf numFmtId="0" fontId="4" fillId="8" borderId="0" xfId="0" applyFont="1" applyFill="1"/>
    <xf numFmtId="164" fontId="35" fillId="14" borderId="0" xfId="0" applyNumberFormat="1" applyFont="1" applyFill="1"/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7" borderId="5" xfId="0" applyFill="1" applyBorder="1" applyAlignment="1">
      <alignment vertical="center"/>
    </xf>
    <xf numFmtId="3" fontId="0" fillId="7" borderId="0" xfId="0" applyNumberFormat="1" applyFill="1" applyBorder="1" applyAlignment="1">
      <alignment vertical="center"/>
    </xf>
    <xf numFmtId="165" fontId="0" fillId="7" borderId="0" xfId="0" applyNumberFormat="1" applyFont="1" applyFill="1" applyBorder="1" applyAlignment="1">
      <alignment vertical="center"/>
    </xf>
    <xf numFmtId="165" fontId="0" fillId="7" borderId="6" xfId="0" applyNumberFormat="1" applyFill="1" applyBorder="1" applyAlignment="1">
      <alignment vertical="center"/>
    </xf>
    <xf numFmtId="0" fontId="0" fillId="15" borderId="5" xfId="0" applyFill="1" applyBorder="1" applyAlignment="1">
      <alignment vertical="center"/>
    </xf>
    <xf numFmtId="165" fontId="0" fillId="15" borderId="7" xfId="0" applyNumberFormat="1" applyFill="1" applyBorder="1" applyAlignment="1">
      <alignment vertical="center"/>
    </xf>
    <xf numFmtId="0" fontId="0" fillId="8" borderId="5" xfId="0" applyFill="1" applyBorder="1" applyAlignment="1">
      <alignment vertical="center"/>
    </xf>
    <xf numFmtId="3" fontId="0" fillId="8" borderId="0" xfId="0" applyNumberFormat="1" applyFill="1" applyBorder="1" applyAlignment="1">
      <alignment vertical="center"/>
    </xf>
    <xf numFmtId="165" fontId="0" fillId="8" borderId="0" xfId="0" applyNumberFormat="1" applyFont="1" applyFill="1" applyBorder="1" applyAlignment="1">
      <alignment vertical="center"/>
    </xf>
    <xf numFmtId="165" fontId="0" fillId="8" borderId="7" xfId="0" applyNumberFormat="1" applyFill="1" applyBorder="1" applyAlignment="1">
      <alignment vertical="center"/>
    </xf>
    <xf numFmtId="165" fontId="2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8" fontId="37" fillId="0" borderId="6" xfId="0" applyNumberFormat="1" applyFont="1" applyBorder="1" applyAlignment="1">
      <alignment vertical="center"/>
    </xf>
    <xf numFmtId="165" fontId="15" fillId="15" borderId="18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165" fontId="0" fillId="0" borderId="0" xfId="0" applyNumberFormat="1" applyFill="1" applyBorder="1" applyAlignment="1">
      <alignment vertical="center"/>
    </xf>
    <xf numFmtId="165" fontId="1" fillId="0" borderId="0" xfId="0" applyNumberFormat="1" applyFont="1" applyFill="1" applyBorder="1"/>
    <xf numFmtId="8" fontId="37" fillId="0" borderId="0" xfId="0" applyNumberFormat="1" applyFont="1" applyFill="1" applyBorder="1" applyAlignment="1">
      <alignment vertical="center"/>
    </xf>
    <xf numFmtId="0" fontId="0" fillId="0" borderId="3" xfId="0" applyFill="1" applyBorder="1"/>
    <xf numFmtId="0" fontId="38" fillId="14" borderId="0" xfId="0" applyFont="1" applyFill="1" applyAlignment="1">
      <alignment horizontal="center" vertical="center" wrapText="1"/>
    </xf>
    <xf numFmtId="9" fontId="15" fillId="2" borderId="15" xfId="0" applyNumberFormat="1" applyFont="1" applyFill="1" applyBorder="1" applyAlignment="1">
      <alignment horizontal="center" vertical="center"/>
    </xf>
    <xf numFmtId="164" fontId="19" fillId="14" borderId="0" xfId="0" applyNumberFormat="1" applyFont="1" applyFill="1" applyAlignment="1">
      <alignment horizontal="center"/>
    </xf>
    <xf numFmtId="164" fontId="38" fillId="14" borderId="0" xfId="0" applyNumberFormat="1" applyFont="1" applyFill="1"/>
    <xf numFmtId="1" fontId="39" fillId="4" borderId="11" xfId="0" applyNumberFormat="1" applyFont="1" applyFill="1" applyBorder="1" applyAlignment="1">
      <alignment horizontal="center" vertical="center" readingOrder="1"/>
    </xf>
    <xf numFmtId="0" fontId="6" fillId="0" borderId="0" xfId="0" applyFont="1"/>
    <xf numFmtId="0" fontId="40" fillId="2" borderId="0" xfId="0" applyFont="1" applyFill="1"/>
    <xf numFmtId="0" fontId="41" fillId="0" borderId="0" xfId="0" applyFont="1" applyFill="1" applyAlignment="1">
      <alignment horizontal="center" wrapText="1"/>
    </xf>
    <xf numFmtId="0" fontId="42" fillId="2" borderId="0" xfId="0" applyFont="1" applyFill="1" applyAlignment="1">
      <alignment horizontal="center" wrapText="1"/>
    </xf>
    <xf numFmtId="3" fontId="24" fillId="0" borderId="0" xfId="0" applyNumberFormat="1" applyFont="1"/>
    <xf numFmtId="44" fontId="17" fillId="2" borderId="0" xfId="0" applyNumberFormat="1" applyFont="1" applyFill="1"/>
    <xf numFmtId="3" fontId="24" fillId="0" borderId="1" xfId="0" applyNumberFormat="1" applyFont="1" applyBorder="1"/>
    <xf numFmtId="44" fontId="17" fillId="2" borderId="1" xfId="0" applyNumberFormat="1" applyFont="1" applyFill="1" applyBorder="1"/>
    <xf numFmtId="0" fontId="45" fillId="0" borderId="0" xfId="0" applyFont="1"/>
    <xf numFmtId="0" fontId="44" fillId="0" borderId="1" xfId="0" applyFont="1" applyBorder="1"/>
    <xf numFmtId="44" fontId="48" fillId="0" borderId="1" xfId="0" applyNumberFormat="1" applyFont="1" applyBorder="1" applyAlignment="1">
      <alignment horizontal="center" vertical="center" readingOrder="1"/>
    </xf>
    <xf numFmtId="0" fontId="46" fillId="4" borderId="0" xfId="0" applyFont="1" applyFill="1"/>
    <xf numFmtId="44" fontId="49" fillId="4" borderId="0" xfId="0" applyNumberFormat="1" applyFont="1" applyFill="1" applyAlignment="1">
      <alignment horizontal="center" vertical="center" readingOrder="1"/>
    </xf>
    <xf numFmtId="3" fontId="45" fillId="4" borderId="0" xfId="0" applyNumberFormat="1" applyFont="1" applyFill="1"/>
    <xf numFmtId="3" fontId="45" fillId="0" borderId="0" xfId="0" applyNumberFormat="1" applyFont="1"/>
    <xf numFmtId="44" fontId="2" fillId="0" borderId="0" xfId="0" applyNumberFormat="1" applyFont="1"/>
    <xf numFmtId="44" fontId="2" fillId="0" borderId="1" xfId="0" applyNumberFormat="1" applyFont="1" applyBorder="1"/>
    <xf numFmtId="1" fontId="34" fillId="11" borderId="1" xfId="0" applyNumberFormat="1" applyFont="1" applyFill="1" applyBorder="1" applyAlignment="1">
      <alignment horizontal="center" vertical="center"/>
    </xf>
    <xf numFmtId="44" fontId="34" fillId="12" borderId="1" xfId="0" applyNumberFormat="1" applyFont="1" applyFill="1" applyBorder="1" applyAlignment="1">
      <alignment vertical="center"/>
    </xf>
    <xf numFmtId="3" fontId="34" fillId="13" borderId="1" xfId="0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/>
    </xf>
    <xf numFmtId="44" fontId="34" fillId="12" borderId="0" xfId="0" applyNumberFormat="1" applyFont="1" applyFill="1" applyBorder="1" applyAlignment="1">
      <alignment vertical="center"/>
    </xf>
    <xf numFmtId="1" fontId="34" fillId="11" borderId="0" xfId="0" applyNumberFormat="1" applyFont="1" applyFill="1" applyBorder="1" applyAlignment="1">
      <alignment horizontal="center" vertical="center"/>
    </xf>
    <xf numFmtId="3" fontId="34" fillId="13" borderId="0" xfId="0" applyNumberFormat="1" applyFont="1" applyFill="1" applyBorder="1" applyAlignment="1">
      <alignment vertical="center"/>
    </xf>
    <xf numFmtId="0" fontId="34" fillId="10" borderId="21" xfId="0" applyFont="1" applyFill="1" applyBorder="1" applyAlignment="1">
      <alignment horizontal="center" vertical="center"/>
    </xf>
    <xf numFmtId="0" fontId="51" fillId="12" borderId="22" xfId="0" applyFont="1" applyFill="1" applyBorder="1" applyAlignment="1">
      <alignment horizontal="center" vertical="center" wrapText="1"/>
    </xf>
    <xf numFmtId="0" fontId="51" fillId="11" borderId="22" xfId="0" applyFont="1" applyFill="1" applyBorder="1" applyAlignment="1">
      <alignment horizontal="center" vertical="center" wrapText="1"/>
    </xf>
    <xf numFmtId="0" fontId="51" fillId="13" borderId="22" xfId="0" applyFont="1" applyFill="1" applyBorder="1" applyAlignment="1">
      <alignment horizontal="center" vertical="center" wrapText="1"/>
    </xf>
    <xf numFmtId="0" fontId="51" fillId="16" borderId="23" xfId="0" applyFont="1" applyFill="1" applyBorder="1" applyAlignment="1">
      <alignment horizontal="center" vertical="center" wrapText="1"/>
    </xf>
    <xf numFmtId="0" fontId="50" fillId="10" borderId="24" xfId="0" applyFont="1" applyFill="1" applyBorder="1" applyAlignment="1">
      <alignment vertical="center"/>
    </xf>
    <xf numFmtId="44" fontId="34" fillId="12" borderId="25" xfId="0" applyNumberFormat="1" applyFont="1" applyFill="1" applyBorder="1" applyAlignment="1">
      <alignment vertical="center"/>
    </xf>
    <xf numFmtId="1" fontId="34" fillId="11" borderId="25" xfId="0" applyNumberFormat="1" applyFont="1" applyFill="1" applyBorder="1" applyAlignment="1">
      <alignment horizontal="center" vertical="center"/>
    </xf>
    <xf numFmtId="3" fontId="34" fillId="13" borderId="25" xfId="0" applyNumberFormat="1" applyFont="1" applyFill="1" applyBorder="1" applyAlignment="1">
      <alignment vertical="center"/>
    </xf>
    <xf numFmtId="44" fontId="34" fillId="16" borderId="26" xfId="0" applyNumberFormat="1" applyFont="1" applyFill="1" applyBorder="1" applyAlignment="1">
      <alignment vertical="center"/>
    </xf>
    <xf numFmtId="0" fontId="50" fillId="10" borderId="27" xfId="0" applyFont="1" applyFill="1" applyBorder="1" applyAlignment="1">
      <alignment vertical="center"/>
    </xf>
    <xf numFmtId="44" fontId="34" fillId="16" borderId="28" xfId="0" applyNumberFormat="1" applyFont="1" applyFill="1" applyBorder="1" applyAlignment="1">
      <alignment vertical="center"/>
    </xf>
    <xf numFmtId="44" fontId="34" fillId="16" borderId="29" xfId="0" applyNumberFormat="1" applyFont="1" applyFill="1" applyBorder="1" applyAlignment="1">
      <alignment vertical="center"/>
    </xf>
    <xf numFmtId="0" fontId="34" fillId="13" borderId="30" xfId="0" applyFont="1" applyFill="1" applyBorder="1" applyAlignment="1">
      <alignment vertical="center"/>
    </xf>
    <xf numFmtId="44" fontId="34" fillId="13" borderId="31" xfId="0" applyNumberFormat="1" applyFont="1" applyFill="1" applyBorder="1" applyAlignment="1">
      <alignment vertical="center"/>
    </xf>
    <xf numFmtId="3" fontId="34" fillId="13" borderId="31" xfId="0" applyNumberFormat="1" applyFont="1" applyFill="1" applyBorder="1" applyAlignment="1">
      <alignment horizontal="center" vertical="center"/>
    </xf>
    <xf numFmtId="3" fontId="34" fillId="13" borderId="31" xfId="0" applyNumberFormat="1" applyFont="1" applyFill="1" applyBorder="1" applyAlignment="1">
      <alignment vertical="center"/>
    </xf>
    <xf numFmtId="44" fontId="52" fillId="13" borderId="32" xfId="0" applyNumberFormat="1" applyFont="1" applyFill="1" applyBorder="1" applyAlignment="1">
      <alignment vertical="center"/>
    </xf>
    <xf numFmtId="0" fontId="24" fillId="0" borderId="0" xfId="0" applyFont="1" applyAlignment="1">
      <alignment vertical="top"/>
    </xf>
    <xf numFmtId="4" fontId="53" fillId="0" borderId="0" xfId="0" applyNumberFormat="1" applyFont="1" applyAlignment="1">
      <alignment horizontal="left" vertical="center" readingOrder="1"/>
    </xf>
    <xf numFmtId="1" fontId="0" fillId="0" borderId="0" xfId="0" applyNumberFormat="1"/>
    <xf numFmtId="2" fontId="5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/>
    <xf numFmtId="2" fontId="1" fillId="0" borderId="0" xfId="0" applyNumberFormat="1" applyFont="1"/>
    <xf numFmtId="170" fontId="55" fillId="0" borderId="0" xfId="0" applyNumberFormat="1" applyFont="1"/>
    <xf numFmtId="0" fontId="56" fillId="0" borderId="0" xfId="0" applyFont="1" applyAlignment="1">
      <alignment vertical="center"/>
    </xf>
    <xf numFmtId="0" fontId="58" fillId="17" borderId="33" xfId="0" applyFont="1" applyFill="1" applyBorder="1" applyAlignment="1">
      <alignment horizontal="center" vertical="center" wrapText="1" readingOrder="1"/>
    </xf>
    <xf numFmtId="0" fontId="59" fillId="0" borderId="34" xfId="0" applyFont="1" applyBorder="1" applyAlignment="1">
      <alignment horizontal="left" vertical="center" wrapText="1" readingOrder="1"/>
    </xf>
    <xf numFmtId="0" fontId="59" fillId="18" borderId="35" xfId="0" applyFont="1" applyFill="1" applyBorder="1" applyAlignment="1">
      <alignment horizontal="center" vertical="center" wrapText="1" readingOrder="1"/>
    </xf>
    <xf numFmtId="0" fontId="59" fillId="0" borderId="36" xfId="0" applyFont="1" applyBorder="1" applyAlignment="1">
      <alignment horizontal="center" vertical="center" wrapText="1" readingOrder="1"/>
    </xf>
    <xf numFmtId="0" fontId="59" fillId="0" borderId="37" xfId="0" applyFont="1" applyBorder="1" applyAlignment="1">
      <alignment horizontal="center" vertical="center" wrapText="1" readingOrder="1"/>
    </xf>
    <xf numFmtId="3" fontId="59" fillId="0" borderId="38" xfId="0" applyNumberFormat="1" applyFont="1" applyBorder="1" applyAlignment="1">
      <alignment horizontal="right" vertical="center" wrapText="1" readingOrder="1"/>
    </xf>
    <xf numFmtId="165" fontId="59" fillId="18" borderId="38" xfId="0" applyNumberFormat="1" applyFont="1" applyFill="1" applyBorder="1" applyAlignment="1">
      <alignment horizontal="center" vertical="center" wrapText="1" readingOrder="1"/>
    </xf>
    <xf numFmtId="165" fontId="59" fillId="0" borderId="39" xfId="0" applyNumberFormat="1" applyFont="1" applyBorder="1" applyAlignment="1">
      <alignment horizontal="left" vertical="center" wrapText="1" readingOrder="1"/>
    </xf>
    <xf numFmtId="0" fontId="59" fillId="0" borderId="40" xfId="0" applyFont="1" applyBorder="1" applyAlignment="1">
      <alignment horizontal="center" vertical="center" wrapText="1" readingOrder="1"/>
    </xf>
    <xf numFmtId="3" fontId="59" fillId="0" borderId="0" xfId="0" applyNumberFormat="1" applyFont="1" applyAlignment="1">
      <alignment horizontal="right" vertical="center" wrapText="1" readingOrder="1"/>
    </xf>
    <xf numFmtId="165" fontId="59" fillId="18" borderId="0" xfId="0" applyNumberFormat="1" applyFont="1" applyFill="1" applyAlignment="1">
      <alignment horizontal="center" vertical="center" wrapText="1" readingOrder="1"/>
    </xf>
    <xf numFmtId="165" fontId="59" fillId="0" borderId="41" xfId="0" applyNumberFormat="1" applyFont="1" applyBorder="1" applyAlignment="1">
      <alignment horizontal="left" vertical="center" wrapText="1" readingOrder="1"/>
    </xf>
    <xf numFmtId="3" fontId="59" fillId="0" borderId="42" xfId="0" applyNumberFormat="1" applyFont="1" applyBorder="1" applyAlignment="1">
      <alignment horizontal="right" vertical="center" wrapText="1" readingOrder="1"/>
    </xf>
    <xf numFmtId="165" fontId="59" fillId="0" borderId="43" xfId="0" applyNumberFormat="1" applyFont="1" applyBorder="1" applyAlignment="1">
      <alignment horizontal="left" vertical="center" wrapText="1" readingOrder="1"/>
    </xf>
    <xf numFmtId="0" fontId="58" fillId="0" borderId="40" xfId="0" applyFont="1" applyBorder="1" applyAlignment="1">
      <alignment horizontal="center" vertical="center" wrapText="1" readingOrder="1"/>
    </xf>
    <xf numFmtId="3" fontId="58" fillId="0" borderId="44" xfId="0" applyNumberFormat="1" applyFont="1" applyBorder="1" applyAlignment="1">
      <alignment horizontal="right" vertical="center" wrapText="1" readingOrder="1"/>
    </xf>
    <xf numFmtId="0" fontId="58" fillId="18" borderId="0" xfId="0" applyFont="1" applyFill="1" applyAlignment="1">
      <alignment horizontal="center" vertical="center" wrapText="1" readingOrder="1"/>
    </xf>
    <xf numFmtId="165" fontId="58" fillId="18" borderId="45" xfId="0" applyNumberFormat="1" applyFont="1" applyFill="1" applyBorder="1" applyAlignment="1">
      <alignment horizontal="left" vertical="center" wrapText="1" readingOrder="1"/>
    </xf>
    <xf numFmtId="0" fontId="59" fillId="0" borderId="46" xfId="0" applyFont="1" applyBorder="1" applyAlignment="1">
      <alignment horizontal="center" vertical="center" wrapText="1" readingOrder="1"/>
    </xf>
    <xf numFmtId="0" fontId="57" fillId="0" borderId="0" xfId="0" applyFont="1" applyAlignment="1">
      <alignment wrapText="1"/>
    </xf>
    <xf numFmtId="0" fontId="59" fillId="0" borderId="41" xfId="0" applyFont="1" applyBorder="1" applyAlignment="1">
      <alignment horizontal="left" vertical="center" wrapText="1" readingOrder="1"/>
    </xf>
    <xf numFmtId="0" fontId="57" fillId="0" borderId="40" xfId="0" applyFont="1" applyBorder="1" applyAlignment="1">
      <alignment wrapText="1"/>
    </xf>
    <xf numFmtId="165" fontId="58" fillId="19" borderId="41" xfId="0" applyNumberFormat="1" applyFont="1" applyFill="1" applyBorder="1" applyAlignment="1">
      <alignment horizontal="left" vertical="center" wrapText="1" readingOrder="1"/>
    </xf>
    <xf numFmtId="0" fontId="59" fillId="0" borderId="34" xfId="0" applyFont="1" applyBorder="1" applyAlignment="1">
      <alignment horizontal="center" vertical="center" wrapText="1" readingOrder="1"/>
    </xf>
    <xf numFmtId="0" fontId="57" fillId="0" borderId="47" xfId="0" applyFont="1" applyBorder="1" applyAlignment="1">
      <alignment wrapText="1"/>
    </xf>
    <xf numFmtId="0" fontId="59" fillId="0" borderId="48" xfId="0" applyFont="1" applyBorder="1" applyAlignment="1">
      <alignment horizontal="left" vertical="center" wrapText="1" readingOrder="1"/>
    </xf>
    <xf numFmtId="0" fontId="58" fillId="2" borderId="33" xfId="0" applyFont="1" applyFill="1" applyBorder="1" applyAlignment="1">
      <alignment horizontal="center" vertical="center" wrapText="1" readingOrder="1"/>
    </xf>
    <xf numFmtId="0" fontId="59" fillId="0" borderId="46" xfId="0" applyFont="1" applyBorder="1" applyAlignment="1">
      <alignment horizontal="left" vertical="center" wrapText="1" readingOrder="1"/>
    </xf>
    <xf numFmtId="165" fontId="58" fillId="2" borderId="41" xfId="0" applyNumberFormat="1" applyFont="1" applyFill="1" applyBorder="1" applyAlignment="1">
      <alignment horizontal="left" vertical="center" wrapText="1" readingOrder="1"/>
    </xf>
    <xf numFmtId="0" fontId="59" fillId="0" borderId="37" xfId="0" applyFont="1" applyBorder="1" applyAlignment="1">
      <alignment horizontal="left" vertical="center" wrapText="1" readingOrder="1"/>
    </xf>
    <xf numFmtId="0" fontId="58" fillId="0" borderId="41" xfId="0" applyFont="1" applyBorder="1" applyAlignment="1">
      <alignment horizontal="left" vertical="center" wrapText="1" readingOrder="1"/>
    </xf>
    <xf numFmtId="0" fontId="59" fillId="0" borderId="40" xfId="0" applyFont="1" applyBorder="1" applyAlignment="1">
      <alignment horizontal="left" vertical="center" wrapText="1" readingOrder="1"/>
    </xf>
    <xf numFmtId="165" fontId="59" fillId="18" borderId="41" xfId="0" applyNumberFormat="1" applyFont="1" applyFill="1" applyBorder="1" applyAlignment="1">
      <alignment horizontal="left" vertical="center" wrapText="1" readingOrder="1"/>
    </xf>
    <xf numFmtId="165" fontId="59" fillId="0" borderId="39" xfId="0" applyNumberFormat="1" applyFont="1" applyBorder="1" applyAlignment="1">
      <alignment horizontal="right" vertical="center" wrapText="1" readingOrder="1"/>
    </xf>
    <xf numFmtId="165" fontId="59" fillId="0" borderId="41" xfId="0" applyNumberFormat="1" applyFont="1" applyBorder="1" applyAlignment="1">
      <alignment horizontal="right" vertical="center" wrapText="1" readingOrder="1"/>
    </xf>
    <xf numFmtId="165" fontId="59" fillId="0" borderId="43" xfId="0" applyNumberFormat="1" applyFont="1" applyBorder="1" applyAlignment="1">
      <alignment horizontal="right" vertical="center" wrapText="1" readingOrder="1"/>
    </xf>
    <xf numFmtId="165" fontId="58" fillId="18" borderId="45" xfId="0" applyNumberFormat="1" applyFont="1" applyFill="1" applyBorder="1" applyAlignment="1">
      <alignment horizontal="right" vertical="center" wrapText="1" readingOrder="1"/>
    </xf>
    <xf numFmtId="4" fontId="0" fillId="7" borderId="0" xfId="0" applyNumberFormat="1" applyFill="1" applyBorder="1" applyAlignment="1">
      <alignment vertical="center"/>
    </xf>
    <xf numFmtId="171" fontId="0" fillId="7" borderId="6" xfId="0" applyNumberFormat="1" applyFill="1" applyBorder="1" applyAlignment="1">
      <alignment vertical="center"/>
    </xf>
    <xf numFmtId="171" fontId="1" fillId="5" borderId="0" xfId="0" applyNumberFormat="1" applyFont="1" applyFill="1"/>
    <xf numFmtId="171" fontId="0" fillId="15" borderId="7" xfId="0" applyNumberFormat="1" applyFill="1" applyBorder="1" applyAlignment="1">
      <alignment vertical="center"/>
    </xf>
    <xf numFmtId="171" fontId="0" fillId="0" borderId="0" xfId="0" applyNumberFormat="1"/>
    <xf numFmtId="171" fontId="0" fillId="8" borderId="7" xfId="0" applyNumberFormat="1" applyFill="1" applyBorder="1" applyAlignment="1">
      <alignment vertical="center"/>
    </xf>
    <xf numFmtId="168" fontId="1" fillId="2" borderId="0" xfId="0" applyNumberFormat="1" applyFont="1" applyFill="1"/>
    <xf numFmtId="9" fontId="1" fillId="0" borderId="0" xfId="1" applyFont="1" applyAlignment="1">
      <alignment vertical="center"/>
    </xf>
    <xf numFmtId="171" fontId="0" fillId="0" borderId="0" xfId="0" applyNumberFormat="1" applyAlignment="1">
      <alignment vertical="center"/>
    </xf>
    <xf numFmtId="172" fontId="19" fillId="0" borderId="0" xfId="0" applyNumberFormat="1" applyFont="1" applyAlignment="1">
      <alignment vertical="center" wrapText="1"/>
    </xf>
    <xf numFmtId="3" fontId="15" fillId="2" borderId="18" xfId="0" applyNumberFormat="1" applyFont="1" applyFill="1" applyBorder="1" applyAlignment="1">
      <alignment vertical="center"/>
    </xf>
    <xf numFmtId="165" fontId="15" fillId="2" borderId="18" xfId="0" applyNumberFormat="1" applyFont="1" applyFill="1" applyBorder="1" applyAlignment="1">
      <alignment vertical="center"/>
    </xf>
    <xf numFmtId="3" fontId="0" fillId="7" borderId="6" xfId="0" applyNumberFormat="1" applyFill="1" applyBorder="1" applyAlignment="1">
      <alignment vertical="center"/>
    </xf>
    <xf numFmtId="3" fontId="0" fillId="20" borderId="6" xfId="0" applyNumberFormat="1" applyFill="1" applyBorder="1" applyAlignment="1">
      <alignment vertical="center"/>
    </xf>
    <xf numFmtId="3" fontId="1" fillId="20" borderId="0" xfId="0" applyNumberFormat="1" applyFont="1" applyFill="1"/>
    <xf numFmtId="3" fontId="0" fillId="15" borderId="7" xfId="0" applyNumberFormat="1" applyFill="1" applyBorder="1" applyAlignment="1">
      <alignment vertical="center"/>
    </xf>
    <xf numFmtId="3" fontId="1" fillId="8" borderId="7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3" fontId="60" fillId="7" borderId="6" xfId="0" applyNumberFormat="1" applyFont="1" applyFill="1" applyBorder="1" applyAlignment="1">
      <alignment vertical="center"/>
    </xf>
    <xf numFmtId="3" fontId="60" fillId="20" borderId="6" xfId="0" applyNumberFormat="1" applyFont="1" applyFill="1" applyBorder="1" applyAlignment="1">
      <alignment vertical="center"/>
    </xf>
    <xf numFmtId="3" fontId="60" fillId="15" borderId="7" xfId="0" applyNumberFormat="1" applyFont="1" applyFill="1" applyBorder="1" applyAlignment="1">
      <alignment vertical="center"/>
    </xf>
    <xf numFmtId="3" fontId="61" fillId="8" borderId="7" xfId="0" applyNumberFormat="1" applyFont="1" applyFill="1" applyBorder="1" applyAlignment="1">
      <alignment vertical="center"/>
    </xf>
    <xf numFmtId="0" fontId="62" fillId="0" borderId="0" xfId="0" applyFont="1" applyAlignment="1">
      <alignment horizontal="center"/>
    </xf>
    <xf numFmtId="168" fontId="1" fillId="0" borderId="0" xfId="0" applyNumberFormat="1" applyFont="1" applyFill="1"/>
    <xf numFmtId="0" fontId="34" fillId="0" borderId="0" xfId="0" applyFont="1" applyFill="1" applyBorder="1" applyAlignment="1">
      <alignment vertical="center"/>
    </xf>
    <xf numFmtId="44" fontId="34" fillId="0" borderId="0" xfId="0" applyNumberFormat="1" applyFont="1" applyFill="1" applyBorder="1" applyAlignment="1">
      <alignment vertical="center"/>
    </xf>
    <xf numFmtId="3" fontId="34" fillId="0" borderId="0" xfId="0" applyNumberFormat="1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vertical="center"/>
    </xf>
    <xf numFmtId="44" fontId="52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43" fillId="0" borderId="0" xfId="0" applyFont="1" applyFill="1"/>
    <xf numFmtId="0" fontId="44" fillId="0" borderId="0" xfId="0" applyFont="1" applyFill="1"/>
    <xf numFmtId="0" fontId="45" fillId="0" borderId="0" xfId="0" applyFont="1" applyFill="1"/>
    <xf numFmtId="0" fontId="46" fillId="0" borderId="2" xfId="0" applyFont="1" applyFill="1" applyBorder="1" applyAlignment="1">
      <alignment horizontal="center" wrapText="1"/>
    </xf>
    <xf numFmtId="0" fontId="44" fillId="0" borderId="3" xfId="0" applyFont="1" applyFill="1" applyBorder="1" applyAlignment="1">
      <alignment horizontal="center"/>
    </xf>
    <xf numFmtId="0" fontId="44" fillId="0" borderId="4" xfId="0" applyFont="1" applyFill="1" applyBorder="1" applyAlignment="1">
      <alignment horizontal="center"/>
    </xf>
    <xf numFmtId="0" fontId="44" fillId="0" borderId="8" xfId="0" applyFont="1" applyFill="1" applyBorder="1"/>
    <xf numFmtId="0" fontId="45" fillId="0" borderId="9" xfId="0" applyFont="1" applyFill="1" applyBorder="1" applyAlignment="1">
      <alignment horizontal="justify" vertical="center"/>
    </xf>
    <xf numFmtId="0" fontId="47" fillId="0" borderId="9" xfId="0" applyFont="1" applyFill="1" applyBorder="1" applyAlignment="1">
      <alignment horizontal="justify" vertical="center"/>
    </xf>
    <xf numFmtId="0" fontId="45" fillId="0" borderId="10" xfId="0" applyFont="1" applyFill="1" applyBorder="1" applyAlignment="1">
      <alignment horizontal="justify" vertical="center"/>
    </xf>
    <xf numFmtId="0" fontId="44" fillId="0" borderId="11" xfId="0" applyFont="1" applyFill="1" applyBorder="1"/>
    <xf numFmtId="49" fontId="48" fillId="0" borderId="11" xfId="0" applyNumberFormat="1" applyFont="1" applyFill="1" applyBorder="1" applyAlignment="1">
      <alignment horizontal="center" vertical="center" readingOrder="1"/>
    </xf>
    <xf numFmtId="0" fontId="44" fillId="0" borderId="12" xfId="0" applyFont="1" applyFill="1" applyBorder="1"/>
    <xf numFmtId="44" fontId="48" fillId="0" borderId="12" xfId="0" applyNumberFormat="1" applyFont="1" applyFill="1" applyBorder="1" applyAlignment="1">
      <alignment horizontal="center" vertical="center" readingOrder="1"/>
    </xf>
    <xf numFmtId="44" fontId="24" fillId="0" borderId="0" xfId="0" applyNumberFormat="1" applyFont="1" applyFill="1" applyAlignment="1">
      <alignment vertical="center"/>
    </xf>
    <xf numFmtId="0" fontId="40" fillId="0" borderId="0" xfId="0" applyFont="1" applyAlignment="1">
      <alignment vertical="top"/>
    </xf>
    <xf numFmtId="3" fontId="16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44" fontId="63" fillId="0" borderId="0" xfId="0" applyNumberFormat="1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44" fontId="56" fillId="0" borderId="0" xfId="0" applyNumberFormat="1" applyFont="1" applyFill="1" applyBorder="1" applyAlignment="1">
      <alignment vertical="center"/>
    </xf>
    <xf numFmtId="1" fontId="22" fillId="0" borderId="0" xfId="0" applyNumberFormat="1" applyFont="1"/>
    <xf numFmtId="3" fontId="0" fillId="0" borderId="51" xfId="0" applyNumberFormat="1" applyBorder="1"/>
    <xf numFmtId="3" fontId="1" fillId="0" borderId="50" xfId="0" applyNumberFormat="1" applyFont="1" applyBorder="1"/>
    <xf numFmtId="0" fontId="0" fillId="0" borderId="52" xfId="0" applyBorder="1"/>
    <xf numFmtId="0" fontId="1" fillId="2" borderId="49" xfId="0" applyFont="1" applyFill="1" applyBorder="1" applyAlignment="1">
      <alignment horizontal="center" vertical="center" wrapText="1"/>
    </xf>
    <xf numFmtId="0" fontId="0" fillId="0" borderId="54" xfId="0" applyBorder="1"/>
    <xf numFmtId="0" fontId="0" fillId="0" borderId="55" xfId="0" applyBorder="1"/>
    <xf numFmtId="3" fontId="0" fillId="0" borderId="57" xfId="0" applyNumberFormat="1" applyBorder="1"/>
    <xf numFmtId="44" fontId="0" fillId="0" borderId="56" xfId="0" applyNumberFormat="1" applyBorder="1"/>
    <xf numFmtId="3" fontId="0" fillId="0" borderId="58" xfId="0" applyNumberFormat="1" applyBorder="1"/>
    <xf numFmtId="44" fontId="0" fillId="0" borderId="59" xfId="0" applyNumberFormat="1" applyBorder="1"/>
    <xf numFmtId="0" fontId="1" fillId="0" borderId="54" xfId="0" applyFont="1" applyBorder="1"/>
    <xf numFmtId="0" fontId="0" fillId="0" borderId="60" xfId="0" applyBorder="1"/>
    <xf numFmtId="0" fontId="0" fillId="0" borderId="61" xfId="0" applyBorder="1"/>
    <xf numFmtId="0" fontId="3" fillId="0" borderId="0" xfId="0" applyFont="1"/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4" fillId="0" borderId="0" xfId="0" applyFont="1"/>
    <xf numFmtId="0" fontId="1" fillId="0" borderId="2" xfId="0" applyFont="1" applyBorder="1" applyAlignment="1">
      <alignment horizontal="center"/>
    </xf>
    <xf numFmtId="0" fontId="22" fillId="0" borderId="4" xfId="0" applyFont="1" applyBorder="1"/>
    <xf numFmtId="0" fontId="0" fillId="3" borderId="62" xfId="0" applyFill="1" applyBorder="1" applyAlignment="1">
      <alignment horizontal="center"/>
    </xf>
    <xf numFmtId="0" fontId="0" fillId="0" borderId="11" xfId="0" applyBorder="1"/>
    <xf numFmtId="0" fontId="22" fillId="0" borderId="63" xfId="0" applyFont="1" applyBorder="1"/>
    <xf numFmtId="0" fontId="0" fillId="2" borderId="64" xfId="0" applyFill="1" applyBorder="1" applyAlignment="1">
      <alignment horizontal="center"/>
    </xf>
    <xf numFmtId="0" fontId="0" fillId="0" borderId="12" xfId="0" applyBorder="1"/>
    <xf numFmtId="0" fontId="22" fillId="0" borderId="65" xfId="0" applyFont="1" applyBorder="1"/>
    <xf numFmtId="0" fontId="0" fillId="23" borderId="64" xfId="0" applyFill="1" applyBorder="1" applyAlignment="1">
      <alignment horizontal="center"/>
    </xf>
    <xf numFmtId="0" fontId="0" fillId="21" borderId="64" xfId="0" applyFill="1" applyBorder="1" applyAlignment="1">
      <alignment horizontal="center"/>
    </xf>
    <xf numFmtId="0" fontId="0" fillId="22" borderId="64" xfId="0" applyFill="1" applyBorder="1" applyAlignment="1">
      <alignment horizontal="center"/>
    </xf>
    <xf numFmtId="0" fontId="1" fillId="0" borderId="12" xfId="0" applyFont="1" applyBorder="1"/>
    <xf numFmtId="0" fontId="1" fillId="0" borderId="67" xfId="0" applyFont="1" applyBorder="1"/>
    <xf numFmtId="0" fontId="0" fillId="0" borderId="67" xfId="0" applyBorder="1"/>
    <xf numFmtId="0" fontId="22" fillId="0" borderId="68" xfId="0" applyFont="1" applyBorder="1"/>
    <xf numFmtId="44" fontId="0" fillId="0" borderId="0" xfId="0" applyNumberFormat="1"/>
    <xf numFmtId="44" fontId="68" fillId="28" borderId="69" xfId="0" applyNumberFormat="1" applyFont="1" applyFill="1" applyBorder="1" applyAlignment="1">
      <alignment horizontal="center" vertical="center" wrapText="1" readingOrder="1"/>
    </xf>
    <xf numFmtId="44" fontId="68" fillId="29" borderId="69" xfId="0" applyNumberFormat="1" applyFont="1" applyFill="1" applyBorder="1" applyAlignment="1">
      <alignment horizontal="center" vertical="center" wrapText="1" readingOrder="1"/>
    </xf>
    <xf numFmtId="0" fontId="68" fillId="30" borderId="69" xfId="0" applyFont="1" applyFill="1" applyBorder="1" applyAlignment="1">
      <alignment horizontal="center" vertical="center" wrapText="1" readingOrder="1"/>
    </xf>
    <xf numFmtId="0" fontId="70" fillId="31" borderId="69" xfId="0" applyFont="1" applyFill="1" applyBorder="1" applyAlignment="1">
      <alignment horizontal="center" vertical="center" wrapText="1" readingOrder="1"/>
    </xf>
    <xf numFmtId="44" fontId="0" fillId="0" borderId="72" xfId="0" applyNumberFormat="1" applyBorder="1"/>
    <xf numFmtId="0" fontId="0" fillId="0" borderId="74" xfId="0" applyBorder="1"/>
    <xf numFmtId="0" fontId="71" fillId="24" borderId="0" xfId="0" applyFont="1" applyFill="1" applyAlignment="1">
      <alignment horizontal="center"/>
    </xf>
    <xf numFmtId="44" fontId="22" fillId="24" borderId="0" xfId="0" applyNumberFormat="1" applyFont="1" applyFill="1"/>
    <xf numFmtId="0" fontId="22" fillId="24" borderId="0" xfId="0" applyFont="1" applyFill="1"/>
    <xf numFmtId="0" fontId="22" fillId="24" borderId="3" xfId="0" applyFont="1" applyFill="1" applyBorder="1"/>
    <xf numFmtId="0" fontId="22" fillId="24" borderId="11" xfId="0" applyFont="1" applyFill="1" applyBorder="1"/>
    <xf numFmtId="0" fontId="22" fillId="24" borderId="12" xfId="0" applyFont="1" applyFill="1" applyBorder="1"/>
    <xf numFmtId="0" fontId="22" fillId="24" borderId="67" xfId="0" applyFont="1" applyFill="1" applyBorder="1"/>
    <xf numFmtId="0" fontId="72" fillId="24" borderId="0" xfId="0" applyFont="1" applyFill="1"/>
    <xf numFmtId="0" fontId="1" fillId="21" borderId="71" xfId="0" applyFont="1" applyFill="1" applyBorder="1" applyAlignment="1">
      <alignment horizontal="center" vertical="center" wrapText="1"/>
    </xf>
    <xf numFmtId="44" fontId="0" fillId="0" borderId="73" xfId="0" applyNumberFormat="1" applyBorder="1"/>
    <xf numFmtId="0" fontId="0" fillId="0" borderId="75" xfId="0" applyBorder="1"/>
    <xf numFmtId="0" fontId="6" fillId="23" borderId="78" xfId="0" applyFont="1" applyFill="1" applyBorder="1" applyAlignment="1">
      <alignment horizontal="center" vertical="center" wrapText="1"/>
    </xf>
    <xf numFmtId="0" fontId="6" fillId="23" borderId="79" xfId="0" applyFont="1" applyFill="1" applyBorder="1" applyAlignment="1">
      <alignment horizontal="center" vertical="center" wrapText="1"/>
    </xf>
    <xf numFmtId="44" fontId="0" fillId="26" borderId="80" xfId="0" applyNumberFormat="1" applyFill="1" applyBorder="1"/>
    <xf numFmtId="44" fontId="1" fillId="26" borderId="81" xfId="0" applyNumberFormat="1" applyFont="1" applyFill="1" applyBorder="1"/>
    <xf numFmtId="44" fontId="0" fillId="8" borderId="82" xfId="0" applyNumberFormat="1" applyFill="1" applyBorder="1"/>
    <xf numFmtId="0" fontId="0" fillId="0" borderId="86" xfId="0" applyBorder="1"/>
    <xf numFmtId="44" fontId="22" fillId="0" borderId="84" xfId="0" applyNumberFormat="1" applyFont="1" applyBorder="1"/>
    <xf numFmtId="0" fontId="0" fillId="0" borderId="87" xfId="0" applyBorder="1"/>
    <xf numFmtId="44" fontId="0" fillId="0" borderId="88" xfId="0" applyNumberFormat="1" applyBorder="1"/>
    <xf numFmtId="0" fontId="0" fillId="25" borderId="0" xfId="0" applyFill="1"/>
    <xf numFmtId="0" fontId="1" fillId="33" borderId="64" xfId="0" applyFont="1" applyFill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66" fillId="24" borderId="50" xfId="0" applyFont="1" applyFill="1" applyBorder="1" applyAlignment="1">
      <alignment horizontal="center" vertical="center" wrapText="1"/>
    </xf>
    <xf numFmtId="44" fontId="22" fillId="24" borderId="50" xfId="0" applyNumberFormat="1" applyFont="1" applyFill="1" applyBorder="1"/>
    <xf numFmtId="0" fontId="22" fillId="24" borderId="50" xfId="0" applyFont="1" applyFill="1" applyBorder="1"/>
    <xf numFmtId="0" fontId="22" fillId="24" borderId="0" xfId="0" applyFont="1" applyFill="1" applyBorder="1"/>
    <xf numFmtId="0" fontId="22" fillId="0" borderId="0" xfId="0" applyFont="1" applyBorder="1"/>
    <xf numFmtId="0" fontId="0" fillId="0" borderId="9" xfId="0" applyFill="1" applyBorder="1"/>
    <xf numFmtId="44" fontId="0" fillId="32" borderId="92" xfId="0" applyNumberFormat="1" applyFill="1" applyBorder="1"/>
    <xf numFmtId="44" fontId="0" fillId="0" borderId="93" xfId="0" applyNumberFormat="1" applyBorder="1"/>
    <xf numFmtId="44" fontId="0" fillId="24" borderId="92" xfId="0" applyNumberFormat="1" applyFill="1" applyBorder="1"/>
    <xf numFmtId="0" fontId="0" fillId="0" borderId="92" xfId="0" applyBorder="1"/>
    <xf numFmtId="0" fontId="0" fillId="0" borderId="93" xfId="0" applyBorder="1"/>
    <xf numFmtId="0" fontId="1" fillId="0" borderId="94" xfId="0" applyFont="1" applyBorder="1"/>
    <xf numFmtId="44" fontId="0" fillId="0" borderId="95" xfId="0" applyNumberFormat="1" applyBorder="1"/>
    <xf numFmtId="0" fontId="0" fillId="0" borderId="96" xfId="0" applyBorder="1"/>
    <xf numFmtId="0" fontId="1" fillId="0" borderId="97" xfId="0" applyFont="1" applyBorder="1"/>
    <xf numFmtId="44" fontId="0" fillId="32" borderId="98" xfId="0" applyNumberFormat="1" applyFill="1" applyBorder="1"/>
    <xf numFmtId="44" fontId="0" fillId="0" borderId="99" xfId="0" applyNumberFormat="1" applyBorder="1"/>
    <xf numFmtId="44" fontId="1" fillId="0" borderId="100" xfId="0" applyNumberFormat="1" applyFont="1" applyBorder="1"/>
    <xf numFmtId="0" fontId="14" fillId="25" borderId="95" xfId="0" applyFont="1" applyFill="1" applyBorder="1" applyAlignment="1">
      <alignment horizontal="center" vertical="center" wrapText="1"/>
    </xf>
    <xf numFmtId="0" fontId="6" fillId="22" borderId="96" xfId="0" applyFont="1" applyFill="1" applyBorder="1" applyAlignment="1">
      <alignment horizontal="center" vertical="center" wrapText="1"/>
    </xf>
    <xf numFmtId="0" fontId="1" fillId="22" borderId="97" xfId="0" applyFont="1" applyFill="1" applyBorder="1" applyAlignment="1">
      <alignment horizontal="center" vertical="center" wrapText="1"/>
    </xf>
    <xf numFmtId="44" fontId="0" fillId="34" borderId="99" xfId="0" applyNumberFormat="1" applyFill="1" applyBorder="1"/>
    <xf numFmtId="44" fontId="0" fillId="34" borderId="93" xfId="0" applyNumberFormat="1" applyFill="1" applyBorder="1"/>
    <xf numFmtId="44" fontId="0" fillId="0" borderId="49" xfId="0" applyNumberFormat="1" applyBorder="1"/>
    <xf numFmtId="0" fontId="23" fillId="0" borderId="89" xfId="0" applyFont="1" applyBorder="1" applyAlignment="1">
      <alignment horizontal="center"/>
    </xf>
    <xf numFmtId="0" fontId="64" fillId="0" borderId="90" xfId="0" applyFont="1" applyBorder="1" applyAlignment="1">
      <alignment horizontal="center"/>
    </xf>
    <xf numFmtId="0" fontId="64" fillId="0" borderId="9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14" borderId="0" xfId="0" applyFont="1" applyFill="1" applyBorder="1" applyAlignment="1">
      <alignment horizontal="center"/>
    </xf>
    <xf numFmtId="0" fontId="0" fillId="14" borderId="0" xfId="0" applyFill="1" applyBorder="1"/>
    <xf numFmtId="0" fontId="1" fillId="14" borderId="0" xfId="0" applyFont="1" applyFill="1" applyBorder="1"/>
    <xf numFmtId="0" fontId="0" fillId="14" borderId="0" xfId="0" applyFill="1"/>
    <xf numFmtId="0" fontId="1" fillId="0" borderId="53" xfId="0" applyFont="1" applyBorder="1" applyAlignment="1">
      <alignment horizontal="center" vertical="center" wrapText="1"/>
    </xf>
    <xf numFmtId="0" fontId="23" fillId="0" borderId="104" xfId="0" applyFont="1" applyBorder="1" applyAlignment="1">
      <alignment horizontal="center"/>
    </xf>
    <xf numFmtId="0" fontId="23" fillId="0" borderId="105" xfId="0" applyFont="1" applyBorder="1" applyAlignment="1">
      <alignment horizontal="center"/>
    </xf>
    <xf numFmtId="0" fontId="23" fillId="0" borderId="106" xfId="0" applyFont="1" applyBorder="1" applyAlignment="1">
      <alignment horizontal="center"/>
    </xf>
    <xf numFmtId="0" fontId="1" fillId="4" borderId="53" xfId="0" applyFont="1" applyFill="1" applyBorder="1" applyAlignment="1">
      <alignment horizontal="center" vertical="center" wrapText="1"/>
    </xf>
    <xf numFmtId="44" fontId="0" fillId="4" borderId="57" xfId="0" applyNumberFormat="1" applyFill="1" applyBorder="1" applyAlignment="1">
      <alignment horizontal="center"/>
    </xf>
    <xf numFmtId="44" fontId="0" fillId="4" borderId="58" xfId="0" applyNumberFormat="1" applyFill="1" applyBorder="1" applyAlignment="1">
      <alignment horizontal="center"/>
    </xf>
    <xf numFmtId="164" fontId="1" fillId="4" borderId="50" xfId="0" applyNumberFormat="1" applyFont="1" applyFill="1" applyBorder="1" applyAlignment="1">
      <alignment horizontal="center"/>
    </xf>
    <xf numFmtId="0" fontId="0" fillId="4" borderId="52" xfId="0" applyFill="1" applyBorder="1"/>
    <xf numFmtId="0" fontId="23" fillId="0" borderId="107" xfId="0" applyFont="1" applyBorder="1" applyAlignment="1">
      <alignment horizontal="center"/>
    </xf>
    <xf numFmtId="0" fontId="1" fillId="2" borderId="108" xfId="0" applyFont="1" applyFill="1" applyBorder="1" applyAlignment="1">
      <alignment horizontal="center" vertical="center" wrapText="1"/>
    </xf>
    <xf numFmtId="0" fontId="1" fillId="2" borderId="109" xfId="0" applyFont="1" applyFill="1" applyBorder="1" applyAlignment="1">
      <alignment horizontal="center" vertical="center" wrapText="1"/>
    </xf>
    <xf numFmtId="44" fontId="0" fillId="0" borderId="110" xfId="0" applyNumberFormat="1" applyBorder="1"/>
    <xf numFmtId="44" fontId="0" fillId="0" borderId="109" xfId="0" applyNumberFormat="1" applyBorder="1"/>
    <xf numFmtId="44" fontId="0" fillId="0" borderId="111" xfId="0" applyNumberFormat="1" applyBorder="1"/>
    <xf numFmtId="0" fontId="64" fillId="0" borderId="0" xfId="0" applyFont="1" applyBorder="1"/>
    <xf numFmtId="0" fontId="64" fillId="0" borderId="112" xfId="0" applyFont="1" applyBorder="1"/>
    <xf numFmtId="0" fontId="0" fillId="0" borderId="113" xfId="0" applyBorder="1"/>
    <xf numFmtId="0" fontId="0" fillId="0" borderId="114" xfId="0" applyBorder="1"/>
    <xf numFmtId="0" fontId="0" fillId="0" borderId="115" xfId="0" applyBorder="1"/>
    <xf numFmtId="0" fontId="64" fillId="0" borderId="116" xfId="0" applyFont="1" applyBorder="1"/>
    <xf numFmtId="0" fontId="64" fillId="0" borderId="117" xfId="0" applyFont="1" applyBorder="1"/>
    <xf numFmtId="0" fontId="24" fillId="30" borderId="70" xfId="0" applyFont="1" applyFill="1" applyBorder="1" applyAlignment="1">
      <alignment horizontal="center" vertical="center" wrapText="1"/>
    </xf>
    <xf numFmtId="0" fontId="75" fillId="30" borderId="123" xfId="0" applyFont="1" applyFill="1" applyBorder="1" applyAlignment="1">
      <alignment horizontal="center" vertical="center" wrapText="1" readingOrder="1"/>
    </xf>
    <xf numFmtId="44" fontId="69" fillId="0" borderId="124" xfId="0" applyNumberFormat="1" applyFont="1" applyBorder="1" applyAlignment="1">
      <alignment horizontal="center" vertical="center" wrapText="1" readingOrder="1"/>
    </xf>
    <xf numFmtId="0" fontId="75" fillId="29" borderId="123" xfId="0" applyFont="1" applyFill="1" applyBorder="1" applyAlignment="1">
      <alignment horizontal="center" vertical="center" wrapText="1" readingOrder="1"/>
    </xf>
    <xf numFmtId="0" fontId="75" fillId="28" borderId="123" xfId="0" applyFont="1" applyFill="1" applyBorder="1" applyAlignment="1">
      <alignment horizontal="center" wrapText="1" readingOrder="1"/>
    </xf>
    <xf numFmtId="0" fontId="67" fillId="27" borderId="125" xfId="0" applyFont="1" applyFill="1" applyBorder="1" applyAlignment="1">
      <alignment horizontal="center" vertical="center" wrapText="1" readingOrder="1"/>
    </xf>
    <xf numFmtId="0" fontId="67" fillId="27" borderId="124" xfId="0" applyFont="1" applyFill="1" applyBorder="1" applyAlignment="1">
      <alignment horizontal="center" vertical="center" wrapText="1" readingOrder="1"/>
    </xf>
    <xf numFmtId="0" fontId="58" fillId="31" borderId="69" xfId="0" applyFont="1" applyFill="1" applyBorder="1" applyAlignment="1">
      <alignment horizontal="center" vertical="center" wrapText="1" readingOrder="1"/>
    </xf>
    <xf numFmtId="0" fontId="0" fillId="0" borderId="13" xfId="0" applyBorder="1" applyAlignment="1">
      <alignment vertical="center"/>
    </xf>
    <xf numFmtId="44" fontId="0" fillId="0" borderId="13" xfId="0" applyNumberFormat="1" applyBorder="1" applyAlignment="1">
      <alignment vertical="center"/>
    </xf>
    <xf numFmtId="0" fontId="22" fillId="24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1" fontId="76" fillId="42" borderId="13" xfId="0" applyNumberFormat="1" applyFont="1" applyFill="1" applyBorder="1" applyAlignment="1">
      <alignment horizontal="center" vertical="center" wrapText="1"/>
    </xf>
    <xf numFmtId="0" fontId="76" fillId="43" borderId="13" xfId="0" applyFont="1" applyFill="1" applyBorder="1" applyAlignment="1">
      <alignment horizontal="center" vertical="center" wrapText="1"/>
    </xf>
    <xf numFmtId="171" fontId="76" fillId="8" borderId="13" xfId="0" applyNumberFormat="1" applyFont="1" applyFill="1" applyBorder="1" applyAlignment="1">
      <alignment horizontal="center" vertical="center" wrapText="1"/>
    </xf>
    <xf numFmtId="0" fontId="76" fillId="44" borderId="13" xfId="0" applyFont="1" applyFill="1" applyBorder="1" applyAlignment="1">
      <alignment horizontal="center" vertical="center" wrapText="1"/>
    </xf>
    <xf numFmtId="0" fontId="76" fillId="45" borderId="13" xfId="0" applyFont="1" applyFill="1" applyBorder="1" applyAlignment="1">
      <alignment horizontal="center" vertical="center" wrapText="1"/>
    </xf>
    <xf numFmtId="0" fontId="76" fillId="46" borderId="13" xfId="0" applyFont="1" applyFill="1" applyBorder="1" applyAlignment="1">
      <alignment horizontal="center" vertical="center" wrapText="1"/>
    </xf>
    <xf numFmtId="171" fontId="76" fillId="39" borderId="13" xfId="0" applyNumberFormat="1" applyFont="1" applyFill="1" applyBorder="1" applyAlignment="1">
      <alignment horizontal="center" vertical="center" wrapText="1"/>
    </xf>
    <xf numFmtId="171" fontId="76" fillId="36" borderId="13" xfId="0" applyNumberFormat="1" applyFont="1" applyFill="1" applyBorder="1" applyAlignment="1">
      <alignment horizontal="center" vertical="center" wrapText="1"/>
    </xf>
    <xf numFmtId="0" fontId="76" fillId="43" borderId="14" xfId="0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78" fillId="0" borderId="129" xfId="0" applyFont="1" applyFill="1" applyBorder="1" applyAlignment="1">
      <alignment horizontal="center" vertical="center" wrapText="1"/>
    </xf>
    <xf numFmtId="171" fontId="78" fillId="0" borderId="129" xfId="0" applyNumberFormat="1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0" fillId="0" borderId="0" xfId="0" applyFont="1"/>
    <xf numFmtId="0" fontId="80" fillId="0" borderId="0" xfId="0" applyFont="1" applyAlignment="1">
      <alignment horizontal="center"/>
    </xf>
    <xf numFmtId="0" fontId="81" fillId="0" borderId="0" xfId="0" applyFont="1"/>
    <xf numFmtId="0" fontId="33" fillId="9" borderId="134" xfId="0" applyFont="1" applyFill="1" applyBorder="1" applyAlignment="1">
      <alignment horizontal="center"/>
    </xf>
    <xf numFmtId="171" fontId="76" fillId="0" borderId="0" xfId="0" applyNumberFormat="1" applyFont="1" applyFill="1" applyBorder="1" applyAlignment="1">
      <alignment horizontal="center" vertical="center" wrapText="1"/>
    </xf>
    <xf numFmtId="171" fontId="76" fillId="8" borderId="16" xfId="0" applyNumberFormat="1" applyFont="1" applyFill="1" applyBorder="1" applyAlignment="1">
      <alignment horizontal="center" vertical="center" wrapText="1"/>
    </xf>
    <xf numFmtId="171" fontId="76" fillId="36" borderId="16" xfId="0" applyNumberFormat="1" applyFont="1" applyFill="1" applyBorder="1" applyAlignment="1">
      <alignment horizontal="center" vertical="center" wrapText="1"/>
    </xf>
    <xf numFmtId="171" fontId="76" fillId="39" borderId="16" xfId="0" applyNumberFormat="1" applyFont="1" applyFill="1" applyBorder="1" applyAlignment="1">
      <alignment horizontal="center" vertical="center" wrapText="1"/>
    </xf>
    <xf numFmtId="171" fontId="76" fillId="0" borderId="3" xfId="0" applyNumberFormat="1" applyFont="1" applyFill="1" applyBorder="1" applyAlignment="1">
      <alignment horizontal="center" vertical="center" wrapText="1"/>
    </xf>
    <xf numFmtId="0" fontId="83" fillId="0" borderId="0" xfId="0" applyFont="1" applyAlignment="1">
      <alignment horizontal="center"/>
    </xf>
    <xf numFmtId="171" fontId="76" fillId="24" borderId="3" xfId="0" applyNumberFormat="1" applyFont="1" applyFill="1" applyBorder="1" applyAlignment="1">
      <alignment horizontal="center" vertical="center" wrapText="1"/>
    </xf>
    <xf numFmtId="0" fontId="77" fillId="43" borderId="13" xfId="0" applyFont="1" applyFill="1" applyBorder="1" applyAlignment="1">
      <alignment horizontal="center" vertical="center" wrapText="1"/>
    </xf>
    <xf numFmtId="0" fontId="77" fillId="44" borderId="13" xfId="0" applyFont="1" applyFill="1" applyBorder="1" applyAlignment="1">
      <alignment horizontal="center" vertical="center" wrapText="1"/>
    </xf>
    <xf numFmtId="0" fontId="77" fillId="45" borderId="13" xfId="0" applyFont="1" applyFill="1" applyBorder="1" applyAlignment="1">
      <alignment horizontal="center" vertical="center" wrapText="1"/>
    </xf>
    <xf numFmtId="0" fontId="77" fillId="46" borderId="13" xfId="0" applyFont="1" applyFill="1" applyBorder="1" applyAlignment="1">
      <alignment horizontal="center" vertical="center" wrapText="1"/>
    </xf>
    <xf numFmtId="0" fontId="77" fillId="0" borderId="0" xfId="0" applyFont="1"/>
    <xf numFmtId="0" fontId="77" fillId="0" borderId="0" xfId="0" applyFont="1" applyAlignment="1">
      <alignment horizontal="center"/>
    </xf>
    <xf numFmtId="0" fontId="87" fillId="0" borderId="0" xfId="0" applyFont="1" applyFill="1" applyBorder="1"/>
    <xf numFmtId="0" fontId="88" fillId="0" borderId="0" xfId="0" applyFont="1"/>
    <xf numFmtId="0" fontId="90" fillId="0" borderId="136" xfId="0" applyFont="1" applyBorder="1"/>
    <xf numFmtId="0" fontId="77" fillId="0" borderId="0" xfId="0" applyFont="1" applyAlignment="1">
      <alignment horizontal="center" vertical="center"/>
    </xf>
    <xf numFmtId="0" fontId="86" fillId="0" borderId="0" xfId="0" applyFont="1"/>
    <xf numFmtId="0" fontId="92" fillId="0" borderId="0" xfId="3" applyFont="1"/>
    <xf numFmtId="0" fontId="85" fillId="0" borderId="0" xfId="0" applyFont="1"/>
    <xf numFmtId="0" fontId="77" fillId="2" borderId="53" xfId="0" applyFont="1" applyFill="1" applyBorder="1" applyAlignment="1">
      <alignment wrapText="1"/>
    </xf>
    <xf numFmtId="0" fontId="77" fillId="2" borderId="132" xfId="0" applyFont="1" applyFill="1" applyBorder="1" applyAlignment="1">
      <alignment horizontal="center" wrapText="1"/>
    </xf>
    <xf numFmtId="0" fontId="77" fillId="2" borderId="71" xfId="0" applyFont="1" applyFill="1" applyBorder="1" applyAlignment="1">
      <alignment horizontal="center" wrapText="1"/>
    </xf>
    <xf numFmtId="0" fontId="77" fillId="8" borderId="53" xfId="0" applyFont="1" applyFill="1" applyBorder="1" applyAlignment="1">
      <alignment wrapText="1"/>
    </xf>
    <xf numFmtId="0" fontId="77" fillId="8" borderId="132" xfId="0" applyFont="1" applyFill="1" applyBorder="1" applyAlignment="1"/>
    <xf numFmtId="0" fontId="77" fillId="8" borderId="132" xfId="0" applyFont="1" applyFill="1" applyBorder="1" applyAlignment="1">
      <alignment horizontal="center"/>
    </xf>
    <xf numFmtId="171" fontId="77" fillId="8" borderId="132" xfId="0" applyNumberFormat="1" applyFont="1" applyFill="1" applyBorder="1" applyAlignment="1">
      <alignment horizontal="center"/>
    </xf>
    <xf numFmtId="0" fontId="77" fillId="8" borderId="71" xfId="0" applyFont="1" applyFill="1" applyBorder="1" applyAlignment="1">
      <alignment horizontal="center"/>
    </xf>
    <xf numFmtId="0" fontId="77" fillId="0" borderId="52" xfId="0" applyFont="1" applyBorder="1" applyAlignment="1">
      <alignment wrapText="1"/>
    </xf>
    <xf numFmtId="44" fontId="77" fillId="0" borderId="133" xfId="0" applyNumberFormat="1" applyFont="1" applyBorder="1" applyAlignment="1"/>
    <xf numFmtId="44" fontId="77" fillId="0" borderId="133" xfId="2" applyNumberFormat="1" applyFont="1" applyBorder="1" applyAlignment="1">
      <alignment horizontal="center"/>
    </xf>
    <xf numFmtId="44" fontId="94" fillId="0" borderId="75" xfId="2" applyNumberFormat="1" applyFont="1" applyBorder="1" applyAlignment="1">
      <alignment horizontal="center"/>
    </xf>
    <xf numFmtId="44" fontId="77" fillId="32" borderId="133" xfId="2" applyNumberFormat="1" applyFont="1" applyFill="1" applyBorder="1" applyAlignment="1">
      <alignment horizontal="center"/>
    </xf>
    <xf numFmtId="0" fontId="86" fillId="7" borderId="14" xfId="0" applyFont="1" applyFill="1" applyBorder="1" applyAlignment="1">
      <alignment horizontal="center"/>
    </xf>
    <xf numFmtId="0" fontId="95" fillId="34" borderId="16" xfId="0" applyFont="1" applyFill="1" applyBorder="1" applyAlignment="1">
      <alignment horizontal="center"/>
    </xf>
    <xf numFmtId="0" fontId="77" fillId="4" borderId="0" xfId="0" applyFont="1" applyFill="1" applyBorder="1" applyAlignment="1">
      <alignment horizontal="center"/>
    </xf>
    <xf numFmtId="0" fontId="77" fillId="22" borderId="0" xfId="0" applyFont="1" applyFill="1" applyBorder="1" applyAlignment="1">
      <alignment horizontal="center"/>
    </xf>
    <xf numFmtId="0" fontId="95" fillId="34" borderId="6" xfId="0" applyFont="1" applyFill="1" applyBorder="1"/>
    <xf numFmtId="0" fontId="77" fillId="0" borderId="5" xfId="0" applyFont="1" applyBorder="1"/>
    <xf numFmtId="173" fontId="77" fillId="4" borderId="0" xfId="2" applyNumberFormat="1" applyFont="1" applyFill="1" applyBorder="1" applyAlignment="1">
      <alignment horizontal="center"/>
    </xf>
    <xf numFmtId="173" fontId="77" fillId="22" borderId="0" xfId="2" applyNumberFormat="1" applyFont="1" applyFill="1" applyBorder="1" applyAlignment="1">
      <alignment horizontal="center"/>
    </xf>
    <xf numFmtId="173" fontId="95" fillId="34" borderId="6" xfId="0" applyNumberFormat="1" applyFont="1" applyFill="1" applyBorder="1"/>
    <xf numFmtId="173" fontId="77" fillId="4" borderId="1" xfId="2" applyNumberFormat="1" applyFont="1" applyFill="1" applyBorder="1" applyAlignment="1">
      <alignment horizontal="center"/>
    </xf>
    <xf numFmtId="173" fontId="77" fillId="22" borderId="1" xfId="2" applyNumberFormat="1" applyFont="1" applyFill="1" applyBorder="1" applyAlignment="1">
      <alignment horizontal="center"/>
    </xf>
    <xf numFmtId="0" fontId="76" fillId="0" borderId="5" xfId="0" applyFont="1" applyBorder="1"/>
    <xf numFmtId="173" fontId="76" fillId="4" borderId="0" xfId="2" applyNumberFormat="1" applyFont="1" applyFill="1" applyBorder="1" applyAlignment="1">
      <alignment horizontal="center"/>
    </xf>
    <xf numFmtId="173" fontId="76" fillId="22" borderId="0" xfId="2" applyNumberFormat="1" applyFont="1" applyFill="1" applyBorder="1" applyAlignment="1">
      <alignment horizontal="center"/>
    </xf>
    <xf numFmtId="9" fontId="95" fillId="34" borderId="6" xfId="0" applyNumberFormat="1" applyFont="1" applyFill="1" applyBorder="1" applyAlignment="1">
      <alignment horizontal="center"/>
    </xf>
    <xf numFmtId="0" fontId="77" fillId="0" borderId="8" xfId="0" applyFont="1" applyBorder="1"/>
    <xf numFmtId="0" fontId="77" fillId="0" borderId="9" xfId="0" applyFont="1" applyBorder="1" applyAlignment="1">
      <alignment horizontal="center"/>
    </xf>
    <xf numFmtId="0" fontId="77" fillId="0" borderId="10" xfId="0" applyFont="1" applyBorder="1"/>
    <xf numFmtId="0" fontId="85" fillId="0" borderId="0" xfId="0" applyFont="1" applyAlignment="1">
      <alignment horizontal="center"/>
    </xf>
    <xf numFmtId="0" fontId="96" fillId="0" borderId="0" xfId="0" applyFont="1" applyFill="1" applyBorder="1"/>
    <xf numFmtId="0" fontId="90" fillId="0" borderId="0" xfId="0" applyFont="1" applyFill="1" applyBorder="1"/>
    <xf numFmtId="0" fontId="87" fillId="0" borderId="0" xfId="0" applyFont="1"/>
    <xf numFmtId="0" fontId="97" fillId="0" borderId="0" xfId="0" applyFont="1"/>
    <xf numFmtId="0" fontId="97" fillId="0" borderId="0" xfId="0" applyFont="1" applyAlignment="1">
      <alignment horizontal="center"/>
    </xf>
    <xf numFmtId="0" fontId="98" fillId="0" borderId="0" xfId="0" applyFont="1" applyFill="1" applyBorder="1"/>
    <xf numFmtId="0" fontId="99" fillId="0" borderId="136" xfId="0" applyFont="1" applyBorder="1"/>
    <xf numFmtId="0" fontId="99" fillId="0" borderId="0" xfId="0" applyFont="1"/>
    <xf numFmtId="0" fontId="94" fillId="2" borderId="132" xfId="0" applyFont="1" applyFill="1" applyBorder="1" applyAlignment="1">
      <alignment horizontal="center" wrapText="1"/>
    </xf>
    <xf numFmtId="0" fontId="94" fillId="8" borderId="132" xfId="0" applyFont="1" applyFill="1" applyBorder="1" applyAlignment="1">
      <alignment horizontal="center"/>
    </xf>
    <xf numFmtId="44" fontId="77" fillId="34" borderId="133" xfId="2" applyNumberFormat="1" applyFont="1" applyFill="1" applyBorder="1" applyAlignment="1">
      <alignment horizontal="center"/>
    </xf>
    <xf numFmtId="0" fontId="76" fillId="0" borderId="0" xfId="0" applyFont="1"/>
    <xf numFmtId="0" fontId="100" fillId="0" borderId="0" xfId="0" applyFont="1"/>
    <xf numFmtId="0" fontId="77" fillId="0" borderId="10" xfId="0" applyFont="1" applyBorder="1" applyAlignment="1">
      <alignment horizontal="center"/>
    </xf>
    <xf numFmtId="0" fontId="86" fillId="38" borderId="128" xfId="0" applyFont="1" applyFill="1" applyBorder="1" applyAlignment="1">
      <alignment horizontal="center" vertical="center" wrapText="1"/>
    </xf>
    <xf numFmtId="171" fontId="76" fillId="2" borderId="130" xfId="0" applyNumberFormat="1" applyFont="1" applyFill="1" applyBorder="1" applyAlignment="1">
      <alignment horizontal="center" vertical="center" wrapText="1"/>
    </xf>
    <xf numFmtId="171" fontId="76" fillId="2" borderId="131" xfId="0" applyNumberFormat="1" applyFont="1" applyFill="1" applyBorder="1" applyAlignment="1">
      <alignment horizontal="center" vertical="center" wrapText="1"/>
    </xf>
    <xf numFmtId="171" fontId="76" fillId="8" borderId="14" xfId="0" applyNumberFormat="1" applyFont="1" applyFill="1" applyBorder="1" applyAlignment="1">
      <alignment horizontal="center" vertical="center" wrapText="1"/>
    </xf>
    <xf numFmtId="171" fontId="100" fillId="8" borderId="135" xfId="0" applyNumberFormat="1" applyFont="1" applyFill="1" applyBorder="1" applyAlignment="1">
      <alignment horizontal="center" vertical="center" wrapText="1"/>
    </xf>
    <xf numFmtId="171" fontId="100" fillId="8" borderId="16" xfId="0" applyNumberFormat="1" applyFont="1" applyFill="1" applyBorder="1" applyAlignment="1">
      <alignment horizontal="center" vertical="center" wrapText="1"/>
    </xf>
    <xf numFmtId="171" fontId="76" fillId="37" borderId="128" xfId="0" applyNumberFormat="1" applyFont="1" applyFill="1" applyBorder="1" applyAlignment="1">
      <alignment horizontal="center" vertical="center" wrapText="1"/>
    </xf>
    <xf numFmtId="171" fontId="76" fillId="37" borderId="13" xfId="0" applyNumberFormat="1" applyFont="1" applyFill="1" applyBorder="1" applyAlignment="1">
      <alignment horizontal="center" vertical="center" wrapText="1"/>
    </xf>
    <xf numFmtId="0" fontId="86" fillId="41" borderId="128" xfId="0" applyFont="1" applyFill="1" applyBorder="1" applyAlignment="1">
      <alignment horizontal="center" vertical="center" wrapText="1"/>
    </xf>
    <xf numFmtId="171" fontId="76" fillId="42" borderId="14" xfId="0" applyNumberFormat="1" applyFont="1" applyFill="1" applyBorder="1" applyAlignment="1">
      <alignment horizontal="center" vertical="center" wrapText="1"/>
    </xf>
    <xf numFmtId="171" fontId="76" fillId="42" borderId="16" xfId="0" applyNumberFormat="1" applyFont="1" applyFill="1" applyBorder="1" applyAlignment="1">
      <alignment horizontal="center" vertical="center" wrapText="1"/>
    </xf>
    <xf numFmtId="171" fontId="100" fillId="42" borderId="135" xfId="0" applyNumberFormat="1" applyFont="1" applyFill="1" applyBorder="1" applyAlignment="1">
      <alignment horizontal="center" vertical="center" wrapText="1"/>
    </xf>
    <xf numFmtId="171" fontId="100" fillId="42" borderId="16" xfId="0" applyNumberFormat="1" applyFont="1" applyFill="1" applyBorder="1" applyAlignment="1">
      <alignment horizontal="center" vertical="center" wrapText="1"/>
    </xf>
    <xf numFmtId="0" fontId="86" fillId="35" borderId="128" xfId="0" applyFont="1" applyFill="1" applyBorder="1" applyAlignment="1">
      <alignment horizontal="center" vertical="center" wrapText="1"/>
    </xf>
    <xf numFmtId="171" fontId="76" fillId="36" borderId="14" xfId="0" applyNumberFormat="1" applyFont="1" applyFill="1" applyBorder="1" applyAlignment="1">
      <alignment horizontal="center" vertical="center" wrapText="1"/>
    </xf>
    <xf numFmtId="171" fontId="100" fillId="36" borderId="135" xfId="0" applyNumberFormat="1" applyFont="1" applyFill="1" applyBorder="1" applyAlignment="1">
      <alignment horizontal="center" vertical="center" wrapText="1"/>
    </xf>
    <xf numFmtId="171" fontId="100" fillId="36" borderId="16" xfId="0" applyNumberFormat="1" applyFont="1" applyFill="1" applyBorder="1" applyAlignment="1">
      <alignment horizontal="center" vertical="center" wrapText="1"/>
    </xf>
    <xf numFmtId="0" fontId="86" fillId="40" borderId="128" xfId="0" applyFont="1" applyFill="1" applyBorder="1" applyAlignment="1">
      <alignment horizontal="center" vertical="center" wrapText="1"/>
    </xf>
    <xf numFmtId="171" fontId="76" fillId="39" borderId="14" xfId="0" applyNumberFormat="1" applyFont="1" applyFill="1" applyBorder="1" applyAlignment="1">
      <alignment horizontal="center" vertical="center" wrapText="1"/>
    </xf>
    <xf numFmtId="171" fontId="100" fillId="39" borderId="135" xfId="0" applyNumberFormat="1" applyFont="1" applyFill="1" applyBorder="1" applyAlignment="1">
      <alignment horizontal="center" vertical="center" wrapText="1"/>
    </xf>
    <xf numFmtId="171" fontId="100" fillId="39" borderId="16" xfId="0" applyNumberFormat="1" applyFont="1" applyFill="1" applyBorder="1" applyAlignment="1">
      <alignment horizontal="center" vertical="center" wrapText="1"/>
    </xf>
    <xf numFmtId="171" fontId="100" fillId="39" borderId="137" xfId="0" applyNumberFormat="1" applyFont="1" applyFill="1" applyBorder="1" applyAlignment="1">
      <alignment horizontal="center" vertical="center" wrapText="1"/>
    </xf>
    <xf numFmtId="0" fontId="76" fillId="0" borderId="0" xfId="0" applyFont="1" applyAlignment="1">
      <alignment horizontal="center"/>
    </xf>
    <xf numFmtId="0" fontId="77" fillId="0" borderId="0" xfId="0" applyFont="1" applyAlignment="1">
      <alignment horizontal="left" vertical="top" wrapText="1"/>
    </xf>
    <xf numFmtId="0" fontId="89" fillId="0" borderId="0" xfId="0" applyFont="1"/>
    <xf numFmtId="0" fontId="86" fillId="0" borderId="5" xfId="0" applyFont="1" applyBorder="1"/>
    <xf numFmtId="0" fontId="77" fillId="0" borderId="0" xfId="0" applyFont="1" applyFill="1"/>
    <xf numFmtId="0" fontId="99" fillId="0" borderId="0" xfId="0" applyFont="1" applyFill="1"/>
    <xf numFmtId="0" fontId="76" fillId="0" borderId="0" xfId="0" applyFont="1" applyFill="1" applyAlignment="1">
      <alignment horizontal="left" vertical="center" wrapText="1"/>
    </xf>
    <xf numFmtId="0" fontId="90" fillId="0" borderId="0" xfId="0" applyFont="1" applyFill="1" applyBorder="1" applyAlignment="1">
      <alignment horizontal="center"/>
    </xf>
    <xf numFmtId="0" fontId="77" fillId="0" borderId="5" xfId="0" applyFont="1" applyBorder="1" applyAlignment="1">
      <alignment horizontal="center"/>
    </xf>
    <xf numFmtId="0" fontId="76" fillId="0" borderId="5" xfId="0" applyFont="1" applyBorder="1" applyAlignment="1">
      <alignment horizontal="center"/>
    </xf>
    <xf numFmtId="0" fontId="77" fillId="0" borderId="8" xfId="0" applyFont="1" applyBorder="1" applyAlignment="1">
      <alignment horizontal="center"/>
    </xf>
    <xf numFmtId="173" fontId="77" fillId="0" borderId="0" xfId="0" applyNumberFormat="1" applyFont="1"/>
    <xf numFmtId="0" fontId="101" fillId="0" borderId="0" xfId="0" applyFont="1" applyAlignment="1">
      <alignment horizontal="center"/>
    </xf>
    <xf numFmtId="0" fontId="101" fillId="0" borderId="0" xfId="0" applyFont="1"/>
    <xf numFmtId="0" fontId="102" fillId="0" borderId="0" xfId="0" applyFont="1"/>
    <xf numFmtId="173" fontId="81" fillId="0" borderId="0" xfId="0" applyNumberFormat="1" applyFont="1"/>
    <xf numFmtId="0" fontId="100" fillId="0" borderId="0" xfId="0" applyFont="1" applyFill="1" applyAlignment="1">
      <alignment horizontal="left" vertical="center" wrapText="1"/>
    </xf>
    <xf numFmtId="0" fontId="99" fillId="0" borderId="0" xfId="0" applyFont="1" applyAlignment="1">
      <alignment horizontal="center"/>
    </xf>
    <xf numFmtId="171" fontId="100" fillId="8" borderId="13" xfId="0" applyNumberFormat="1" applyFont="1" applyFill="1" applyBorder="1" applyAlignment="1">
      <alignment horizontal="center" vertical="center" wrapText="1"/>
    </xf>
    <xf numFmtId="171" fontId="100" fillId="0" borderId="0" xfId="0" applyNumberFormat="1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71" fontId="76" fillId="46" borderId="127" xfId="0" applyNumberFormat="1" applyFont="1" applyFill="1" applyBorder="1" applyAlignment="1">
      <alignment horizontal="center" vertical="center" wrapText="1"/>
    </xf>
    <xf numFmtId="171" fontId="76" fillId="46" borderId="129" xfId="0" applyNumberFormat="1" applyFont="1" applyFill="1" applyBorder="1" applyAlignment="1">
      <alignment horizontal="center" vertical="center" wrapText="1"/>
    </xf>
    <xf numFmtId="171" fontId="76" fillId="46" borderId="128" xfId="0" applyNumberFormat="1" applyFont="1" applyFill="1" applyBorder="1" applyAlignment="1">
      <alignment horizontal="center" vertical="center" wrapText="1"/>
    </xf>
    <xf numFmtId="0" fontId="76" fillId="4" borderId="17" xfId="0" applyFont="1" applyFill="1" applyBorder="1" applyAlignment="1">
      <alignment horizontal="center"/>
    </xf>
    <xf numFmtId="0" fontId="76" fillId="22" borderId="17" xfId="0" applyFont="1" applyFill="1" applyBorder="1" applyAlignment="1">
      <alignment horizontal="center"/>
    </xf>
    <xf numFmtId="0" fontId="76" fillId="0" borderId="17" xfId="0" applyFont="1" applyBorder="1" applyAlignment="1">
      <alignment horizontal="center"/>
    </xf>
    <xf numFmtId="0" fontId="100" fillId="40" borderId="135" xfId="0" applyFont="1" applyFill="1" applyBorder="1" applyAlignment="1">
      <alignment horizontal="center" vertical="center" wrapText="1"/>
    </xf>
    <xf numFmtId="0" fontId="76" fillId="40" borderId="16" xfId="0" applyFont="1" applyFill="1" applyBorder="1" applyAlignment="1">
      <alignment horizontal="center" vertical="center" wrapText="1"/>
    </xf>
    <xf numFmtId="0" fontId="76" fillId="40" borderId="13" xfId="0" applyFont="1" applyFill="1" applyBorder="1" applyAlignment="1">
      <alignment horizontal="center" vertical="center" wrapText="1"/>
    </xf>
    <xf numFmtId="0" fontId="95" fillId="40" borderId="14" xfId="0" applyFont="1" applyFill="1" applyBorder="1" applyAlignment="1">
      <alignment horizontal="center" vertical="center" wrapText="1"/>
    </xf>
    <xf numFmtId="0" fontId="91" fillId="40" borderId="13" xfId="3" applyFont="1" applyFill="1" applyBorder="1" applyAlignment="1">
      <alignment horizontal="center" vertical="center" wrapText="1"/>
    </xf>
    <xf numFmtId="0" fontId="76" fillId="35" borderId="13" xfId="0" applyFont="1" applyFill="1" applyBorder="1" applyAlignment="1">
      <alignment horizontal="center" vertical="center" wrapText="1"/>
    </xf>
    <xf numFmtId="171" fontId="76" fillId="45" borderId="127" xfId="0" applyNumberFormat="1" applyFont="1" applyFill="1" applyBorder="1" applyAlignment="1">
      <alignment horizontal="center" vertical="center" wrapText="1"/>
    </xf>
    <xf numFmtId="171" fontId="76" fillId="45" borderId="129" xfId="0" applyNumberFormat="1" applyFont="1" applyFill="1" applyBorder="1" applyAlignment="1">
      <alignment horizontal="center" vertical="center" wrapText="1"/>
    </xf>
    <xf numFmtId="171" fontId="76" fillId="45" borderId="128" xfId="0" applyNumberFormat="1" applyFont="1" applyFill="1" applyBorder="1" applyAlignment="1">
      <alignment horizontal="center" vertical="center" wrapText="1"/>
    </xf>
    <xf numFmtId="0" fontId="76" fillId="41" borderId="127" xfId="0" applyFont="1" applyFill="1" applyBorder="1" applyAlignment="1">
      <alignment horizontal="center" vertical="center" wrapText="1"/>
    </xf>
    <xf numFmtId="0" fontId="76" fillId="41" borderId="129" xfId="0" applyFont="1" applyFill="1" applyBorder="1" applyAlignment="1">
      <alignment horizontal="center" vertical="center" wrapText="1"/>
    </xf>
    <xf numFmtId="0" fontId="76" fillId="41" borderId="128" xfId="0" applyFont="1" applyFill="1" applyBorder="1" applyAlignment="1">
      <alignment horizontal="center" vertical="center" wrapText="1"/>
    </xf>
    <xf numFmtId="171" fontId="76" fillId="44" borderId="127" xfId="0" applyNumberFormat="1" applyFont="1" applyFill="1" applyBorder="1" applyAlignment="1">
      <alignment horizontal="center" vertical="center" wrapText="1"/>
    </xf>
    <xf numFmtId="171" fontId="76" fillId="44" borderId="129" xfId="0" applyNumberFormat="1" applyFont="1" applyFill="1" applyBorder="1" applyAlignment="1">
      <alignment horizontal="center" vertical="center" wrapText="1"/>
    </xf>
    <xf numFmtId="171" fontId="76" fillId="44" borderId="128" xfId="0" applyNumberFormat="1" applyFont="1" applyFill="1" applyBorder="1" applyAlignment="1">
      <alignment horizontal="center" vertical="center" wrapText="1"/>
    </xf>
    <xf numFmtId="0" fontId="76" fillId="41" borderId="13" xfId="0" applyFont="1" applyFill="1" applyBorder="1" applyAlignment="1">
      <alignment horizontal="center" vertical="center" wrapText="1"/>
    </xf>
    <xf numFmtId="0" fontId="76" fillId="38" borderId="13" xfId="0" applyFont="1" applyFill="1" applyBorder="1" applyAlignment="1">
      <alignment horizontal="center" vertical="center" wrapText="1"/>
    </xf>
    <xf numFmtId="171" fontId="76" fillId="43" borderId="127" xfId="0" applyNumberFormat="1" applyFont="1" applyFill="1" applyBorder="1" applyAlignment="1">
      <alignment horizontal="center" vertical="center" wrapText="1"/>
    </xf>
    <xf numFmtId="171" fontId="76" fillId="43" borderId="129" xfId="0" applyNumberFormat="1" applyFont="1" applyFill="1" applyBorder="1" applyAlignment="1">
      <alignment horizontal="center" vertical="center" wrapText="1"/>
    </xf>
    <xf numFmtId="171" fontId="76" fillId="43" borderId="128" xfId="0" applyNumberFormat="1" applyFont="1" applyFill="1" applyBorder="1" applyAlignment="1">
      <alignment horizontal="center" vertical="center" wrapText="1"/>
    </xf>
    <xf numFmtId="0" fontId="76" fillId="35" borderId="127" xfId="0" applyFont="1" applyFill="1" applyBorder="1" applyAlignment="1">
      <alignment horizontal="center" vertical="center" wrapText="1"/>
    </xf>
    <xf numFmtId="0" fontId="84" fillId="38" borderId="13" xfId="3" applyFont="1" applyFill="1" applyBorder="1" applyAlignment="1">
      <alignment horizontal="center" vertical="center" wrapText="1"/>
    </xf>
    <xf numFmtId="0" fontId="84" fillId="38" borderId="14" xfId="3" applyFont="1" applyFill="1" applyBorder="1" applyAlignment="1">
      <alignment horizontal="center" vertical="center" wrapText="1"/>
    </xf>
    <xf numFmtId="0" fontId="103" fillId="38" borderId="135" xfId="3" applyFont="1" applyFill="1" applyBorder="1" applyAlignment="1">
      <alignment horizontal="center" vertical="center" wrapText="1"/>
    </xf>
    <xf numFmtId="0" fontId="100" fillId="38" borderId="16" xfId="0" applyFont="1" applyFill="1" applyBorder="1" applyAlignment="1">
      <alignment horizontal="center" vertical="center" wrapText="1"/>
    </xf>
    <xf numFmtId="0" fontId="76" fillId="41" borderId="2" xfId="0" applyFont="1" applyFill="1" applyBorder="1" applyAlignment="1">
      <alignment horizontal="center" vertical="center" wrapText="1"/>
    </xf>
    <xf numFmtId="0" fontId="76" fillId="41" borderId="5" xfId="0" applyFont="1" applyFill="1" applyBorder="1" applyAlignment="1">
      <alignment horizontal="center" vertical="center" wrapText="1"/>
    </xf>
    <xf numFmtId="0" fontId="76" fillId="41" borderId="8" xfId="0" applyFont="1" applyFill="1" applyBorder="1" applyAlignment="1">
      <alignment horizontal="center" vertical="center" wrapText="1"/>
    </xf>
    <xf numFmtId="0" fontId="103" fillId="41" borderId="138" xfId="3" applyFont="1" applyFill="1" applyBorder="1" applyAlignment="1">
      <alignment horizontal="center" vertical="center" wrapText="1"/>
    </xf>
    <xf numFmtId="0" fontId="103" fillId="41" borderId="136" xfId="3" applyFont="1" applyFill="1" applyBorder="1" applyAlignment="1">
      <alignment horizontal="center" vertical="center" wrapText="1"/>
    </xf>
    <xf numFmtId="0" fontId="103" fillId="41" borderId="139" xfId="3" applyFont="1" applyFill="1" applyBorder="1" applyAlignment="1">
      <alignment horizontal="center" vertical="center" wrapText="1"/>
    </xf>
    <xf numFmtId="0" fontId="76" fillId="38" borderId="127" xfId="0" applyFont="1" applyFill="1" applyBorder="1" applyAlignment="1">
      <alignment horizontal="center" vertical="center" wrapText="1"/>
    </xf>
    <xf numFmtId="0" fontId="100" fillId="41" borderId="16" xfId="0" applyFont="1" applyFill="1" applyBorder="1" applyAlignment="1">
      <alignment horizontal="center" vertical="center" wrapText="1"/>
    </xf>
    <xf numFmtId="0" fontId="76" fillId="40" borderId="14" xfId="0" applyFont="1" applyFill="1" applyBorder="1" applyAlignment="1">
      <alignment horizontal="center" vertical="center" wrapText="1"/>
    </xf>
    <xf numFmtId="0" fontId="103" fillId="40" borderId="135" xfId="3" applyFont="1" applyFill="1" applyBorder="1" applyAlignment="1">
      <alignment horizontal="center" vertical="center" wrapText="1"/>
    </xf>
    <xf numFmtId="0" fontId="100" fillId="40" borderId="16" xfId="0" applyFont="1" applyFill="1" applyBorder="1" applyAlignment="1">
      <alignment horizontal="center" vertical="center" wrapText="1"/>
    </xf>
    <xf numFmtId="0" fontId="76" fillId="35" borderId="16" xfId="0" applyFont="1" applyFill="1" applyBorder="1" applyAlignment="1">
      <alignment horizontal="center" vertical="center" wrapText="1"/>
    </xf>
    <xf numFmtId="0" fontId="76" fillId="40" borderId="127" xfId="0" applyFont="1" applyFill="1" applyBorder="1" applyAlignment="1">
      <alignment horizontal="center" vertical="center" wrapText="1"/>
    </xf>
    <xf numFmtId="0" fontId="76" fillId="35" borderId="14" xfId="0" applyFont="1" applyFill="1" applyBorder="1" applyAlignment="1">
      <alignment horizontal="center" vertical="center" wrapText="1"/>
    </xf>
    <xf numFmtId="0" fontId="100" fillId="35" borderId="135" xfId="0" applyFont="1" applyFill="1" applyBorder="1" applyAlignment="1">
      <alignment horizontal="center" vertical="center" wrapText="1"/>
    </xf>
    <xf numFmtId="0" fontId="100" fillId="35" borderId="16" xfId="0" applyFont="1" applyFill="1" applyBorder="1" applyAlignment="1">
      <alignment horizontal="center" vertical="center" wrapText="1"/>
    </xf>
    <xf numFmtId="0" fontId="91" fillId="38" borderId="13" xfId="3" applyFont="1" applyFill="1" applyBorder="1" applyAlignment="1">
      <alignment horizontal="center" vertical="center" wrapText="1"/>
    </xf>
    <xf numFmtId="0" fontId="91" fillId="38" borderId="14" xfId="3" applyFont="1" applyFill="1" applyBorder="1" applyAlignment="1">
      <alignment horizontal="center" vertical="center" wrapText="1"/>
    </xf>
    <xf numFmtId="0" fontId="100" fillId="38" borderId="135" xfId="0" applyFont="1" applyFill="1" applyBorder="1" applyAlignment="1">
      <alignment horizontal="center" vertical="center" wrapText="1"/>
    </xf>
    <xf numFmtId="0" fontId="95" fillId="38" borderId="16" xfId="0" applyFont="1" applyFill="1" applyBorder="1" applyAlignment="1">
      <alignment horizontal="center" vertical="center" wrapText="1"/>
    </xf>
    <xf numFmtId="0" fontId="76" fillId="41" borderId="16" xfId="0" applyFont="1" applyFill="1" applyBorder="1" applyAlignment="1">
      <alignment horizontal="center" vertical="center" wrapText="1"/>
    </xf>
    <xf numFmtId="0" fontId="91" fillId="35" borderId="13" xfId="3" applyFont="1" applyFill="1" applyBorder="1" applyAlignment="1">
      <alignment horizontal="center" vertical="center" wrapText="1"/>
    </xf>
    <xf numFmtId="0" fontId="95" fillId="35" borderId="14" xfId="0" applyFont="1" applyFill="1" applyBorder="1" applyAlignment="1">
      <alignment horizontal="center" vertical="center" wrapText="1"/>
    </xf>
    <xf numFmtId="0" fontId="95" fillId="41" borderId="13" xfId="0" applyFont="1" applyFill="1" applyBorder="1" applyAlignment="1">
      <alignment horizontal="center" vertical="center" wrapText="1"/>
    </xf>
    <xf numFmtId="0" fontId="91" fillId="41" borderId="13" xfId="3" applyFont="1" applyFill="1" applyBorder="1" applyAlignment="1">
      <alignment horizontal="center" vertical="center" wrapText="1"/>
    </xf>
    <xf numFmtId="0" fontId="100" fillId="41" borderId="135" xfId="0" applyFont="1" applyFill="1" applyBorder="1" applyAlignment="1">
      <alignment horizontal="center" vertical="center" wrapText="1"/>
    </xf>
    <xf numFmtId="0" fontId="91" fillId="41" borderId="14" xfId="3" applyFont="1" applyFill="1" applyBorder="1" applyAlignment="1">
      <alignment horizontal="center" vertical="center" wrapText="1"/>
    </xf>
    <xf numFmtId="0" fontId="100" fillId="40" borderId="17" xfId="0" applyFont="1" applyFill="1" applyBorder="1" applyAlignment="1">
      <alignment horizontal="center" vertical="center" wrapText="1"/>
    </xf>
    <xf numFmtId="0" fontId="76" fillId="38" borderId="16" xfId="0" applyFont="1" applyFill="1" applyBorder="1" applyAlignment="1">
      <alignment horizontal="center" vertical="center" wrapText="1"/>
    </xf>
    <xf numFmtId="0" fontId="93" fillId="24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00" fillId="35" borderId="138" xfId="0" applyFont="1" applyFill="1" applyBorder="1" applyAlignment="1">
      <alignment horizontal="center" vertical="center" wrapText="1"/>
    </xf>
    <xf numFmtId="0" fontId="100" fillId="35" borderId="136" xfId="0" applyFont="1" applyFill="1" applyBorder="1" applyAlignment="1">
      <alignment horizontal="center" vertical="center" wrapText="1"/>
    </xf>
    <xf numFmtId="0" fontId="100" fillId="35" borderId="139" xfId="0" applyFont="1" applyFill="1" applyBorder="1" applyAlignment="1">
      <alignment horizontal="center" vertical="center" wrapText="1"/>
    </xf>
    <xf numFmtId="0" fontId="91" fillId="35" borderId="127" xfId="3" applyFont="1" applyFill="1" applyBorder="1" applyAlignment="1">
      <alignment horizontal="center" vertical="center" wrapText="1"/>
    </xf>
    <xf numFmtId="0" fontId="91" fillId="35" borderId="129" xfId="3" applyFont="1" applyFill="1" applyBorder="1" applyAlignment="1">
      <alignment horizontal="center" vertical="center" wrapText="1"/>
    </xf>
    <xf numFmtId="0" fontId="91" fillId="35" borderId="128" xfId="3" applyFont="1" applyFill="1" applyBorder="1" applyAlignment="1">
      <alignment horizontal="center" vertical="center" wrapText="1"/>
    </xf>
    <xf numFmtId="0" fontId="76" fillId="41" borderId="14" xfId="0" applyFont="1" applyFill="1" applyBorder="1" applyAlignment="1">
      <alignment horizontal="center" vertical="center" wrapText="1"/>
    </xf>
    <xf numFmtId="0" fontId="76" fillId="38" borderId="14" xfId="0" applyFont="1" applyFill="1" applyBorder="1" applyAlignment="1">
      <alignment horizontal="center" vertical="center" wrapText="1"/>
    </xf>
    <xf numFmtId="0" fontId="91" fillId="41" borderId="127" xfId="3" applyFont="1" applyFill="1" applyBorder="1" applyAlignment="1">
      <alignment horizontal="center" vertical="center" wrapText="1"/>
    </xf>
    <xf numFmtId="0" fontId="91" fillId="41" borderId="129" xfId="3" applyFont="1" applyFill="1" applyBorder="1" applyAlignment="1">
      <alignment horizontal="center" vertical="center" wrapText="1"/>
    </xf>
    <xf numFmtId="0" fontId="91" fillId="41" borderId="128" xfId="3" applyFont="1" applyFill="1" applyBorder="1" applyAlignment="1">
      <alignment horizontal="center" vertical="center" wrapText="1"/>
    </xf>
    <xf numFmtId="0" fontId="103" fillId="35" borderId="135" xfId="3" applyFont="1" applyFill="1" applyBorder="1" applyAlignment="1">
      <alignment horizontal="center" vertical="center" wrapText="1"/>
    </xf>
    <xf numFmtId="0" fontId="103" fillId="41" borderId="135" xfId="3" applyFont="1" applyFill="1" applyBorder="1" applyAlignment="1">
      <alignment horizontal="center" vertical="center" wrapText="1"/>
    </xf>
    <xf numFmtId="0" fontId="100" fillId="38" borderId="13" xfId="0" applyFont="1" applyFill="1" applyBorder="1" applyAlignment="1">
      <alignment horizontal="center" vertical="center" wrapText="1"/>
    </xf>
    <xf numFmtId="0" fontId="95" fillId="38" borderId="13" xfId="0" applyFont="1" applyFill="1" applyBorder="1" applyAlignment="1">
      <alignment horizontal="center" vertical="center" wrapText="1"/>
    </xf>
    <xf numFmtId="0" fontId="95" fillId="38" borderId="127" xfId="0" applyFont="1" applyFill="1" applyBorder="1" applyAlignment="1">
      <alignment horizontal="center" vertical="center" wrapText="1"/>
    </xf>
    <xf numFmtId="0" fontId="104" fillId="38" borderId="135" xfId="3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168" fontId="34" fillId="13" borderId="0" xfId="0" applyNumberFormat="1" applyFont="1" applyFill="1" applyAlignment="1">
      <alignment horizontal="left" vertical="top" readingOrder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59" fillId="18" borderId="40" xfId="0" applyFont="1" applyFill="1" applyBorder="1" applyAlignment="1">
      <alignment horizontal="left" vertical="center" wrapText="1" readingOrder="1"/>
    </xf>
    <xf numFmtId="0" fontId="59" fillId="18" borderId="0" xfId="0" applyFont="1" applyFill="1" applyBorder="1" applyAlignment="1">
      <alignment horizontal="left" vertical="center" wrapText="1" readingOrder="1"/>
    </xf>
    <xf numFmtId="0" fontId="58" fillId="28" borderId="121" xfId="0" applyFont="1" applyFill="1" applyBorder="1" applyAlignment="1">
      <alignment horizontal="center" vertical="top" readingOrder="1"/>
    </xf>
    <xf numFmtId="0" fontId="58" fillId="28" borderId="126" xfId="0" applyFont="1" applyFill="1" applyBorder="1" applyAlignment="1">
      <alignment horizontal="center" vertical="top" readingOrder="1"/>
    </xf>
    <xf numFmtId="0" fontId="70" fillId="31" borderId="121" xfId="0" applyFont="1" applyFill="1" applyBorder="1" applyAlignment="1">
      <alignment horizontal="center" vertical="center" wrapText="1" readingOrder="1"/>
    </xf>
    <xf numFmtId="0" fontId="70" fillId="31" borderId="122" xfId="0" applyFont="1" applyFill="1" applyBorder="1" applyAlignment="1">
      <alignment horizontal="center" vertical="center" wrapText="1" readingOrder="1"/>
    </xf>
    <xf numFmtId="0" fontId="0" fillId="0" borderId="13" xfId="0" applyBorder="1" applyAlignment="1">
      <alignment horizontal="center" vertical="center" wrapText="1"/>
    </xf>
    <xf numFmtId="0" fontId="58" fillId="29" borderId="121" xfId="0" applyFont="1" applyFill="1" applyBorder="1" applyAlignment="1">
      <alignment horizontal="center" vertical="top" wrapText="1" readingOrder="1"/>
    </xf>
    <xf numFmtId="0" fontId="58" fillId="29" borderId="70" xfId="0" applyFont="1" applyFill="1" applyBorder="1" applyAlignment="1">
      <alignment horizontal="center" vertical="top" wrapText="1" readingOrder="1"/>
    </xf>
    <xf numFmtId="0" fontId="58" fillId="30" borderId="121" xfId="0" applyFont="1" applyFill="1" applyBorder="1" applyAlignment="1">
      <alignment horizontal="center" vertical="top" wrapText="1" readingOrder="1"/>
    </xf>
    <xf numFmtId="0" fontId="68" fillId="30" borderId="121" xfId="0" applyFont="1" applyFill="1" applyBorder="1" applyAlignment="1">
      <alignment horizontal="center" vertical="center" wrapText="1" readingOrder="1"/>
    </xf>
    <xf numFmtId="0" fontId="68" fillId="30" borderId="122" xfId="0" applyFont="1" applyFill="1" applyBorder="1" applyAlignment="1">
      <alignment horizontal="center" vertical="center" wrapText="1" readingOrder="1"/>
    </xf>
    <xf numFmtId="44" fontId="69" fillId="0" borderId="13" xfId="0" applyNumberFormat="1" applyFont="1" applyBorder="1" applyAlignment="1">
      <alignment horizontal="center" vertical="center" wrapText="1" readingOrder="1"/>
    </xf>
    <xf numFmtId="0" fontId="68" fillId="28" borderId="121" xfId="0" applyFont="1" applyFill="1" applyBorder="1" applyAlignment="1">
      <alignment horizontal="center" vertical="center" wrapText="1" readingOrder="1"/>
    </xf>
    <xf numFmtId="0" fontId="68" fillId="28" borderId="122" xfId="0" applyFont="1" applyFill="1" applyBorder="1" applyAlignment="1">
      <alignment horizontal="center" vertical="center" wrapText="1" readingOrder="1"/>
    </xf>
    <xf numFmtId="0" fontId="68" fillId="29" borderId="121" xfId="0" applyFont="1" applyFill="1" applyBorder="1" applyAlignment="1">
      <alignment horizontal="center" vertical="center" wrapText="1" readingOrder="1"/>
    </xf>
    <xf numFmtId="0" fontId="68" fillId="29" borderId="122" xfId="0" applyFont="1" applyFill="1" applyBorder="1" applyAlignment="1">
      <alignment horizontal="center" vertical="center" wrapText="1" readingOrder="1"/>
    </xf>
    <xf numFmtId="0" fontId="67" fillId="27" borderId="13" xfId="0" applyFont="1" applyFill="1" applyBorder="1" applyAlignment="1">
      <alignment horizontal="center" vertical="center" wrapText="1" readingOrder="1"/>
    </xf>
    <xf numFmtId="44" fontId="1" fillId="8" borderId="83" xfId="0" applyNumberFormat="1" applyFont="1" applyFill="1" applyBorder="1" applyAlignment="1"/>
    <xf numFmtId="0" fontId="1" fillId="8" borderId="84" xfId="0" applyFont="1" applyFill="1" applyBorder="1" applyAlignment="1"/>
    <xf numFmtId="0" fontId="1" fillId="8" borderId="85" xfId="0" applyFont="1" applyFill="1" applyBorder="1" applyAlignment="1"/>
    <xf numFmtId="0" fontId="23" fillId="0" borderId="76" xfId="0" applyFont="1" applyFill="1" applyBorder="1" applyAlignment="1">
      <alignment horizontal="center"/>
    </xf>
    <xf numFmtId="0" fontId="0" fillId="0" borderId="77" xfId="0" applyFill="1" applyBorder="1" applyAlignment="1">
      <alignment horizontal="center"/>
    </xf>
    <xf numFmtId="0" fontId="73" fillId="14" borderId="101" xfId="0" applyFont="1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74" fillId="32" borderId="76" xfId="0" applyFont="1" applyFill="1" applyBorder="1" applyAlignment="1">
      <alignment horizontal="center" vertical="center"/>
    </xf>
    <xf numFmtId="0" fontId="6" fillId="32" borderId="77" xfId="0" applyFont="1" applyFill="1" applyBorder="1" applyAlignment="1">
      <alignment horizontal="center" vertical="center"/>
    </xf>
    <xf numFmtId="0" fontId="1" fillId="2" borderId="118" xfId="0" applyFont="1" applyFill="1" applyBorder="1" applyAlignment="1">
      <alignment horizontal="center" vertical="center"/>
    </xf>
    <xf numFmtId="0" fontId="1" fillId="2" borderId="119" xfId="0" applyFont="1" applyFill="1" applyBorder="1" applyAlignment="1">
      <alignment horizontal="center" vertical="center"/>
    </xf>
    <xf numFmtId="0" fontId="1" fillId="2" borderId="120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103" fillId="38" borderId="16" xfId="3" applyFont="1" applyFill="1" applyBorder="1" applyAlignment="1">
      <alignment horizontal="center" vertical="center" wrapText="1"/>
    </xf>
  </cellXfs>
  <cellStyles count="4">
    <cellStyle name="Collegamento ipertestuale" xfId="3" builtinId="8"/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7C80"/>
      <color rgb="FF6699FF"/>
      <color rgb="FFFFCDE6"/>
      <color rgb="FFFFD5EA"/>
      <color rgb="FFABC7FF"/>
      <color rgb="FFB7E7FF"/>
      <color rgb="FFFFDC97"/>
      <color rgb="FFC5ECFF"/>
      <color rgb="FFDDF4FF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'Slide 22'!$A$3</c:f>
              <c:strCache>
                <c:ptCount val="1"/>
                <c:pt idx="0">
                  <c:v>Scuola statale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'Slide 22 con BilPrev2020-2022'!$F$2:$J$2</c:f>
              <c:strCache>
                <c:ptCount val="5"/>
                <c:pt idx="0">
                  <c:v>2020</c:v>
                </c:pt>
                <c:pt idx="1">
                  <c:v>2021 CSSA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'Slide 22'!$C$3:$G$3</c:f>
              <c:numCache>
                <c:formatCode>[$€-2]\ #,##0;[Red]\-[$€-2]\ #,##0</c:formatCode>
                <c:ptCount val="5"/>
                <c:pt idx="0">
                  <c:v>59050611470.492569</c:v>
                </c:pt>
                <c:pt idx="1">
                  <c:v>59050611470.492569</c:v>
                </c:pt>
                <c:pt idx="2">
                  <c:v>59050611470.492569</c:v>
                </c:pt>
                <c:pt idx="3">
                  <c:v>59050611470.492569</c:v>
                </c:pt>
                <c:pt idx="4">
                  <c:v>59050611470.492569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D2-46BE-B6B3-3CD651726B5E}"/>
            </c:ext>
          </c:extLst>
        </c:ser>
        <c:ser>
          <c:idx val="2"/>
          <c:order val="1"/>
          <c:tx>
            <c:strRef>
              <c:f>'Slide 22'!$A$6</c:f>
              <c:strCache>
                <c:ptCount val="1"/>
                <c:pt idx="0">
                  <c:v>Scuola paritaria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'Slide 22 con BilPrev2020-2022'!$F$2:$J$2</c:f>
              <c:strCache>
                <c:ptCount val="5"/>
                <c:pt idx="0">
                  <c:v>2020</c:v>
                </c:pt>
                <c:pt idx="1">
                  <c:v>2021 CSSA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'Slide 22'!$C$6:$G$6</c:f>
              <c:numCache>
                <c:formatCode>[$€-2]\ #,##0;[Red]\-[$€-2]\ #,##0</c:formatCode>
                <c:ptCount val="5"/>
                <c:pt idx="0">
                  <c:v>535676821.94999999</c:v>
                </c:pt>
                <c:pt idx="1">
                  <c:v>350279821.94999999</c:v>
                </c:pt>
                <c:pt idx="2">
                  <c:v>535677318.17799997</c:v>
                </c:pt>
                <c:pt idx="3">
                  <c:v>288480821.94999999</c:v>
                </c:pt>
                <c:pt idx="4">
                  <c:v>226681821.95000002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BD2-46BE-B6B3-3CD651726B5E}"/>
            </c:ext>
          </c:extLst>
        </c:ser>
        <c:ser>
          <c:idx val="1"/>
          <c:order val="2"/>
          <c:tx>
            <c:strRef>
              <c:f>'Slide 22'!$A$5</c:f>
              <c:strCache>
                <c:ptCount val="1"/>
                <c:pt idx="0">
                  <c:v>Costi chiusura paritarie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numFmt formatCode="_(&quot;€&quot;* #,##0_);_(&quot;€&quot;* \(#,##0\);_(&quot;€&quot;* &quot;-&quot;_);_(@_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'Slide 22 con BilPrev2020-2022'!$F$2:$J$2</c:f>
              <c:strCache>
                <c:ptCount val="5"/>
                <c:pt idx="0">
                  <c:v>2020</c:v>
                </c:pt>
                <c:pt idx="1">
                  <c:v>2021 CSSA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'Slide 22'!$C$5:$G$5</c:f>
              <c:numCache>
                <c:formatCode>[$€-2]\ #,##0;[Red]\-[$€-2]\ #,##0</c:formatCode>
                <c:ptCount val="5"/>
                <c:pt idx="1">
                  <c:v>3000000000</c:v>
                </c:pt>
                <c:pt idx="3">
                  <c:v>4000000000</c:v>
                </c:pt>
                <c:pt idx="4">
                  <c:v>5000000000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D2-46BE-B6B3-3CD651726B5E}"/>
            </c:ext>
          </c:extLst>
        </c:ser>
        <c:ser>
          <c:idx val="3"/>
          <c:order val="3"/>
          <c:tx>
            <c:strRef>
              <c:f>'Slide 22'!$A$4</c:f>
              <c:strCache>
                <c:ptCount val="1"/>
                <c:pt idx="0">
                  <c:v>Costi standard (70-30%)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fld id="{DC79204D-4577-4088-B69B-44FC3A8A0617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388-4800-A811-4F0FAF9A3495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'Slide 22 con BilPrev2020-2022'!$F$2:$J$2</c:f>
              <c:strCache>
                <c:ptCount val="5"/>
                <c:pt idx="0">
                  <c:v>2020</c:v>
                </c:pt>
                <c:pt idx="1">
                  <c:v>2021 CSSA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'Slide 22'!$C$4:$G$4</c:f>
              <c:numCache>
                <c:formatCode>[$€-2]\ #,##0;[Red]\-[$€-2]\ #,##0</c:formatCode>
                <c:ptCount val="5"/>
                <c:pt idx="2">
                  <c:v>2502336575.3660002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BD2-46BE-B6B3-3CD651726B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64203376"/>
        <c:axId val="364203768"/>
      </c:barChart>
      <c:catAx>
        <c:axId val="36420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4203768"/>
        <c:crossesAt val="5.0000000000000002E+268"/>
        <c:auto val="1"/>
        <c:lblAlgn val="ctr"/>
        <c:lblOffset val="100"/>
        <c:noMultiLvlLbl val="0"/>
      </c:catAx>
      <c:valAx>
        <c:axId val="364203768"/>
        <c:scaling>
          <c:orientation val="minMax"/>
          <c:min val="55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€-2]\ #,##0;[Red]\-[$€-2]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4203376"/>
        <c:crosses val="autoZero"/>
        <c:crossBetween val="between"/>
        <c:majorUnit val="1000000000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1"/>
              <a:t>ISTRUZIONE SCOLASTICA E CHIUSURA DELLE SCUOLE PUBBLICHE PARITARIE</a:t>
            </a:r>
          </a:p>
        </c:rich>
      </c:tx>
      <c:layout>
        <c:manualLayout>
          <c:xMode val="edge"/>
          <c:yMode val="edge"/>
          <c:x val="0.11576552061660642"/>
          <c:y val="1.91065506131773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8521299710658627E-2"/>
          <c:y val="0.16477863994261646"/>
          <c:w val="0.87720910748581116"/>
          <c:h val="0.7338565144649429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'Slide 22 con BilPrev2020-2022'!$B$3</c:f>
              <c:strCache>
                <c:ptCount val="1"/>
                <c:pt idx="0">
                  <c:v>Scuola statale</c:v>
                </c:pt>
              </c:strCache>
            </c:strRef>
          </c:tx>
          <c:spPr>
            <a:solidFill>
              <a:srgbClr val="0033CC"/>
            </a:solidFill>
            <a:ln>
              <a:solidFill>
                <a:srgbClr val="0033CC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'Slide 22 con BilPrev2020-2022'!$D$2:$K$2</c15:sqref>
                  </c15:fullRef>
                </c:ext>
              </c:extLst>
              <c:f>'Slide 22 con BilPrev2020-2022'!$E$2:$K$2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 CSSA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'Slide 22 con BilPrev2020-2022'!$D$3:$K$3</c15:sqref>
                  </c15:fullRef>
                </c:ext>
              </c:extLst>
              <c:f>'Slide 22 con BilPrev2020-2022'!$E$3:$K$3</c:f>
              <c:numCache>
                <c:formatCode>#,##0</c:formatCode>
                <c:ptCount val="7"/>
                <c:pt idx="0">
                  <c:v>48569323178.050003</c:v>
                </c:pt>
                <c:pt idx="1">
                  <c:v>48784279335</c:v>
                </c:pt>
                <c:pt idx="2">
                  <c:v>47152204380</c:v>
                </c:pt>
                <c:pt idx="3">
                  <c:v>47152204380</c:v>
                </c:pt>
                <c:pt idx="4">
                  <c:v>44658177841</c:v>
                </c:pt>
                <c:pt idx="5">
                  <c:v>44658177841</c:v>
                </c:pt>
                <c:pt idx="6">
                  <c:v>44658177841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B9-49CC-8EBF-C257A19BE8B7}"/>
            </c:ext>
          </c:extLst>
        </c:ser>
        <c:ser>
          <c:idx val="0"/>
          <c:order val="1"/>
          <c:tx>
            <c:strRef>
              <c:f>'Slide 22 con BilPrev2020-2022'!$B$6</c:f>
              <c:strCache>
                <c:ptCount val="1"/>
                <c:pt idx="0">
                  <c:v>Scuola paritaria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6.8664170462750009E-3"/>
                  <c:y val="-4.7766376532942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A6-43A6-BE1D-3BA6D295323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732834092548996E-3"/>
                  <c:y val="-7.16495647994150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5A6-43A6-BE1D-3BA6D2953237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7290887053494813E-2"/>
                  <c:y val="-1.5524072373206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A6-43A6-BE1D-3BA6D295323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'Slide 22 con BilPrev2020-2022'!$D$2:$K$2</c15:sqref>
                  </c15:fullRef>
                </c:ext>
              </c:extLst>
              <c:f>'Slide 22 con BilPrev2020-2022'!$E$2:$K$2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 CSSA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'Slide 22 con BilPrev2020-2022'!$D$6:$K$6</c15:sqref>
                  </c15:fullRef>
                </c:ext>
              </c:extLst>
              <c:f>'Slide 22 con BilPrev2020-2022'!$E$6:$K$6</c:f>
              <c:numCache>
                <c:formatCode>#,##0</c:formatCode>
                <c:ptCount val="7"/>
                <c:pt idx="0">
                  <c:v>535676821.94999999</c:v>
                </c:pt>
                <c:pt idx="1">
                  <c:v>535676821.94999999</c:v>
                </c:pt>
                <c:pt idx="2">
                  <c:v>535676821.94999999</c:v>
                </c:pt>
                <c:pt idx="3">
                  <c:v>350279821.94999999</c:v>
                </c:pt>
                <c:pt idx="4">
                  <c:v>288480821.94999999</c:v>
                </c:pt>
                <c:pt idx="5">
                  <c:v>226681821.95000002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6B9-49CC-8EBF-C257A19BE8B7}"/>
            </c:ext>
          </c:extLst>
        </c:ser>
        <c:ser>
          <c:idx val="2"/>
          <c:order val="2"/>
          <c:tx>
            <c:strRef>
              <c:f>'Slide 22 con BilPrev2020-2022'!$B$4</c:f>
              <c:strCache>
                <c:ptCount val="1"/>
                <c:pt idx="0">
                  <c:v>Costi standard (70-30%)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fld id="{DC79204D-4577-4088-B69B-44FC3A8A0617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5A6-43A6-BE1D-3BA6D2953237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'Slide 22 con BilPrev2020-2022'!$D$2:$K$2</c15:sqref>
                  </c15:fullRef>
                </c:ext>
              </c:extLst>
              <c:f>'Slide 22 con BilPrev2020-2022'!$E$2:$K$2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 CSSA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'Slide 22 con BilPrev2020-2022'!$D$4:$K$4</c15:sqref>
                  </c15:fullRef>
                </c:ext>
              </c:extLst>
              <c:f>'Slide 22 con BilPrev2020-2022'!$E$4:$K$4</c:f>
              <c:numCache>
                <c:formatCode>#,##0</c:formatCode>
                <c:ptCount val="7"/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6B9-49CC-8EBF-C257A19BE8B7}"/>
            </c:ext>
          </c:extLst>
        </c:ser>
        <c:ser>
          <c:idx val="5"/>
          <c:order val="3"/>
          <c:tx>
            <c:strRef>
              <c:f>'Slide 22 con BilPrev2020-2022'!$B$5</c:f>
              <c:strCache>
                <c:ptCount val="1"/>
                <c:pt idx="0">
                  <c:v>Costi chiusura paritarie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'Slide 22 con BilPrev2020-2022'!$D$2:$K$2</c15:sqref>
                  </c15:fullRef>
                </c:ext>
              </c:extLst>
              <c:f>'Slide 22 con BilPrev2020-2022'!$E$2:$K$2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 CSSA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'Slide 22 con BilPrev2020-2022'!$D$5:$K$5</c15:sqref>
                  </c15:fullRef>
                </c:ext>
              </c:extLst>
              <c:f>'Slide 22 con BilPrev2020-2022'!$E$5:$K$5</c:f>
              <c:numCache>
                <c:formatCode>#,##0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6B9-49CC-8EBF-C257A19BE8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100"/>
        <c:axId val="364204944"/>
        <c:axId val="364204160"/>
      </c:barChart>
      <c:catAx>
        <c:axId val="36420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4204160"/>
        <c:crossesAt val="4.1999999999999988E+274"/>
        <c:auto val="1"/>
        <c:lblAlgn val="ctr"/>
        <c:lblOffset val="100"/>
        <c:noMultiLvlLbl val="0"/>
      </c:catAx>
      <c:valAx>
        <c:axId val="364204160"/>
        <c:scaling>
          <c:orientation val="minMax"/>
          <c:max val="52000000000"/>
          <c:min val="42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€-2]\ #,##0;[Red]\-[$€-2]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4204944"/>
        <c:crosses val="autoZero"/>
        <c:crossBetween val="between"/>
        <c:majorUnit val="1000000000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Milioni di Euro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4803149606299213" l="0.6" r="0" t="0.74803149606299213" header="0.31496062992125984" footer="0.31496062992125984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49</xdr:row>
      <xdr:rowOff>104777</xdr:rowOff>
    </xdr:from>
    <xdr:to>
      <xdr:col>5</xdr:col>
      <xdr:colOff>337886</xdr:colOff>
      <xdr:row>67</xdr:row>
      <xdr:rowOff>180975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914" t="26343" r="21559" b="5700"/>
        <a:stretch/>
      </xdr:blipFill>
      <xdr:spPr bwMode="auto">
        <a:xfrm>
          <a:off x="76200" y="13249277"/>
          <a:ext cx="5205161" cy="350519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301625</xdr:colOff>
      <xdr:row>9</xdr:row>
      <xdr:rowOff>0</xdr:rowOff>
    </xdr:from>
    <xdr:to>
      <xdr:col>11</xdr:col>
      <xdr:colOff>396586</xdr:colOff>
      <xdr:row>37</xdr:row>
      <xdr:rowOff>29441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97414</xdr:colOff>
      <xdr:row>8</xdr:row>
      <xdr:rowOff>148286</xdr:rowOff>
    </xdr:from>
    <xdr:to>
      <xdr:col>9</xdr:col>
      <xdr:colOff>429707</xdr:colOff>
      <xdr:row>32</xdr:row>
      <xdr:rowOff>45243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esktop\Covid%202019\AIUTI%20ALLE%20FAMIGLIE\AIUTI%20Alle%20famiglie%20per%20la%20scuola%20Lig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con intervento"/>
      <sheetName val="ORIG senza intervento"/>
      <sheetName val="DOTE SCUOLA FASCE ISEE"/>
      <sheetName val="SIMULAZIONI DOTE+CONTRIBUTI"/>
      <sheetName val="CONTRIBUTI MIN. PARITARIE"/>
      <sheetName val="CONTRIB"/>
      <sheetName val="Foglio1"/>
      <sheetName val="DISABILI"/>
      <sheetName val="ALUNNI"/>
      <sheetName val="DirdiAPpp"/>
      <sheetName val="SCUOLE IN LOMBARDIA"/>
      <sheetName val="Slide 22"/>
      <sheetName val="Slide 22 con BilPrev2020-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H6">
            <v>343.49112934158478</v>
          </cell>
        </row>
        <row r="7">
          <cell r="H7">
            <v>350.08489558717991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vvenire.it/attualita/pagine/paritarie-20mila-borse-di-studio-dalla-cei" TargetMode="External"/><Relationship Id="rId13" Type="http://schemas.openxmlformats.org/officeDocument/2006/relationships/hyperlink" Target="https://www.miur.gov.it/documents/20182/2432359/m_pi.AOOGABMI.Registro+Decreti%28R%29.0000119.08-09-2020.pdf/5c0bc25b-33ba-ff33-2ebb-44ae49acebd7?version=1.0&amp;t=1600242831030" TargetMode="External"/><Relationship Id="rId3" Type="http://schemas.openxmlformats.org/officeDocument/2006/relationships/hyperlink" Target="https://www.ildirittodiapprendere.it/libro/" TargetMode="External"/><Relationship Id="rId7" Type="http://schemas.openxmlformats.org/officeDocument/2006/relationships/hyperlink" Target="https://www.regione.liguria.it/homepage/scuola-e-formazione/istruzione/borse-di-studio-iscrizione-e-frequenza-scolastica-2020.html" TargetMode="External"/><Relationship Id="rId12" Type="http://schemas.openxmlformats.org/officeDocument/2006/relationships/hyperlink" Target="https://www.miur.gov.it/documents/20182/2432359/m_pi.AOOGABMI.Registro+Decreti%28R%29.0000118.08-09-2020.pdf/f913f364-723c-7dd4-4a19-4159b269c282?version=1.0&amp;t=1600154211125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miur.gov.it/documents/20182/2432359/Circolare+n.6457+del+27+aprile+2020+-+Tabella+Costo+Medio+Studente+2020.pdf/258787bb-b471-5c05-70c8-08692a45257b?version=1.1&amp;t=1587983474300" TargetMode="External"/><Relationship Id="rId16" Type="http://schemas.openxmlformats.org/officeDocument/2006/relationships/hyperlink" Target="https://www.regione.liguria.it/area-stampa/archivio-comunicati-stampa-della-giunta/item/26704-voucher-scuole-partiarie-18-agosto.html" TargetMode="External"/><Relationship Id="rId1" Type="http://schemas.openxmlformats.org/officeDocument/2006/relationships/hyperlink" Target="https://www.miur.gov.it/documents/20182/2432359/Circolare+n.6457+del+27+aprile+2020+-+Tabella+Costo+Medio+Studente+2020.pdf/258787bb-b471-5c05-70c8-08692a45257b?version=1.1&amp;t=1587983474300" TargetMode="External"/><Relationship Id="rId6" Type="http://schemas.openxmlformats.org/officeDocument/2006/relationships/hyperlink" Target="https://www.regione.liguria.it/homepage/scuola-e-formazione/istruzione/borse-di-studio-iscrizione-e-frequenza-scolastica-2020.html" TargetMode="External"/><Relationship Id="rId11" Type="http://schemas.openxmlformats.org/officeDocument/2006/relationships/hyperlink" Target="http://www.brunoleonimedia.it/public/Focus/IBL_Focus_329-Alfieri-Amenta.pdf?http://www.brunoleoni.it/?utm_source=newsletter" TargetMode="External"/><Relationship Id="rId5" Type="http://schemas.openxmlformats.org/officeDocument/2006/relationships/hyperlink" Target="https://www.regione.liguria.it/homepage/scuola-e-formazione/istruzione/borse-di-studio-iscrizione-e-frequenza-scolastica-2020.html" TargetMode="External"/><Relationship Id="rId15" Type="http://schemas.openxmlformats.org/officeDocument/2006/relationships/hyperlink" Target="https://www.miur.gov.it/documents/20182/2432359/m_pi.AOOGABMI.Registro+Decreti%28R%29.0000118.08-09-2020.pdf/f913f364-723c-7dd4-4a19-4159b269c282?version=1.0&amp;t=1600154211125" TargetMode="External"/><Relationship Id="rId10" Type="http://schemas.openxmlformats.org/officeDocument/2006/relationships/hyperlink" Target="http://www.brunoleonimedia.it/public/Focus/IBL_Focus_329-Alfieri-Amenta.pdf?http://www.brunoleoni.it/?utm_source=newsletter" TargetMode="External"/><Relationship Id="rId4" Type="http://schemas.openxmlformats.org/officeDocument/2006/relationships/hyperlink" Target="https://www.regione.liguria.it/homepage/scuola-e-formazione/istruzione/borse-di-studio-iscrizione-e-frequenza-scolastica-2020.html" TargetMode="External"/><Relationship Id="rId9" Type="http://schemas.openxmlformats.org/officeDocument/2006/relationships/hyperlink" Target="https://www.avvenire.it/attualita/pagine/paritarie-20mila-borse-di-studio-dalla-cei" TargetMode="External"/><Relationship Id="rId14" Type="http://schemas.openxmlformats.org/officeDocument/2006/relationships/hyperlink" Target="https://www.miur.gov.it/documents/20182/2432359/m_pi.AOOGABMI.Registro+Decreti%28R%29.0000118.08-09-2020.pdf/f913f364-723c-7dd4-4a19-4159b269c282?version=1.0&amp;t=160015421112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ur.gov.it/documents/20182/2432359/m_pi.AOOGABMI.Registro+Decreti%28R%29.0000118.08-09-2020.pdf/f913f364-723c-7dd4-4a19-4159b269c282?version=1.0&amp;t=1600154211125" TargetMode="External"/><Relationship Id="rId13" Type="http://schemas.openxmlformats.org/officeDocument/2006/relationships/hyperlink" Target="https://www.comune.milano.it/-/educazione.-dal-comune-2-5-milioni-per-sostenere-il-sistema-educativo-privato-0-6" TargetMode="External"/><Relationship Id="rId3" Type="http://schemas.openxmlformats.org/officeDocument/2006/relationships/hyperlink" Target="https://www.ildirittodiapprendere.it/libro/" TargetMode="External"/><Relationship Id="rId7" Type="http://schemas.openxmlformats.org/officeDocument/2006/relationships/hyperlink" Target="https://www.avvenire.it/attualita/pagine/paritarie-20mila-borse-di-studio-dalla-cei" TargetMode="External"/><Relationship Id="rId12" Type="http://schemas.openxmlformats.org/officeDocument/2006/relationships/hyperlink" Target="https://www.chiesadimilano.it/news/chiesa-diocesi/alunni-di-scuole-dinfanzia-dalla-diocesi-un-contributo-alle-famiglie-335060.html?category_name=news%2Fchiesa-diocesi" TargetMode="External"/><Relationship Id="rId2" Type="http://schemas.openxmlformats.org/officeDocument/2006/relationships/hyperlink" Target="https://www.miur.gov.it/documents/20182/2432359/Circolare+n.6457+del+27+aprile+2020+-+Tabella+Costo+Medio+Studente+2020.pdf/258787bb-b471-5c05-70c8-08692a45257b?version=1.1&amp;t=1587983474300" TargetMode="External"/><Relationship Id="rId1" Type="http://schemas.openxmlformats.org/officeDocument/2006/relationships/hyperlink" Target="https://www.miur.gov.it/documents/20182/2432359/Circolare+n.6457+del+27+aprile+2020+-+Tabella+Costo+Medio+Studente+2020.pdf/258787bb-b471-5c05-70c8-08692a45257b?version=1.1&amp;t=1587983474300" TargetMode="External"/><Relationship Id="rId6" Type="http://schemas.openxmlformats.org/officeDocument/2006/relationships/hyperlink" Target="https://www.regione.lombardia.it/wps/portal/istituzionale/HP/DettaglioRedazionale/servizi-e-informazioni/cittadini/scuola-universita-e-ricerca/Dote-scuola/dote-scuola-2020-2021/dote-scuola-2020-2021" TargetMode="External"/><Relationship Id="rId11" Type="http://schemas.openxmlformats.org/officeDocument/2006/relationships/hyperlink" Target="https://www.miur.gov.it/documents/20182/2432359/m_pi.AOOGABMI.Registro+Decreti%28R%29.0000119.08-09-2020.pdf/5c0bc25b-33ba-ff33-2ebb-44ae49acebd7?version=1.0&amp;t=1600242831030" TargetMode="External"/><Relationship Id="rId5" Type="http://schemas.openxmlformats.org/officeDocument/2006/relationships/hyperlink" Target="http://www.brunoleonimedia.it/public/Focus/IBL_Focus_329-Alfieri-Amenta.pdf?http://www.brunoleoni.it/?utm_source=newsletter" TargetMode="External"/><Relationship Id="rId10" Type="http://schemas.openxmlformats.org/officeDocument/2006/relationships/hyperlink" Target="https://www.miur.gov.it/documents/20182/2432359/m_pi.AOOGABMI.Registro+Decreti%28R%29.0000118.08-09-2020.pdf/f913f364-723c-7dd4-4a19-4159b269c282?version=1.0&amp;t=1600154211125" TargetMode="External"/><Relationship Id="rId4" Type="http://schemas.openxmlformats.org/officeDocument/2006/relationships/hyperlink" Target="http://www.brunoleonimedia.it/public/Focus/IBL_Focus_329-Alfieri-Amenta.pdf?http://www.brunoleoni.it/?utm_source=newsletter" TargetMode="External"/><Relationship Id="rId9" Type="http://schemas.openxmlformats.org/officeDocument/2006/relationships/hyperlink" Target="https://www.miur.gov.it/documents/20182/2432359/m_pi.AOOGABMI.Registro+Decreti%28R%29.0000118.08-09-2020.pdf/f913f364-723c-7dd4-4a19-4159b269c282?version=1.0&amp;t=1600154211125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ur.gov.it/documents/20182/2432359/Circolare+n.6457+del+27+aprile+2020+-+Tabella+Costo+Medio+Studente+2020.pdf/258787bb-b471-5c05-70c8-08692a45257b?version=1.1&amp;t=1587983474300" TargetMode="External"/><Relationship Id="rId13" Type="http://schemas.openxmlformats.org/officeDocument/2006/relationships/hyperlink" Target="https://www.miur.gov.it/documents/20182/2432359/m_pi.AOOGABMI.Registro+Decreti%28R%29.0000118.08-09-2020.pdf/f913f364-723c-7dd4-4a19-4159b269c282?version=1.0&amp;t=1600154211125" TargetMode="External"/><Relationship Id="rId3" Type="http://schemas.openxmlformats.org/officeDocument/2006/relationships/hyperlink" Target="https://www.regione.piemonte.it/web/temi/istruzione-formazione-lavoro/istruzione/voucher-scuola/voucher-scuola-2020-2021" TargetMode="External"/><Relationship Id="rId7" Type="http://schemas.openxmlformats.org/officeDocument/2006/relationships/hyperlink" Target="https://www.miur.gov.it/documents/20182/2432359/Circolare+n.6457+del+27+aprile+2020+-+Tabella+Costo+Medio+Studente+2020.pdf/258787bb-b471-5c05-70c8-08692a45257b?version=1.1&amp;t=1587983474300" TargetMode="External"/><Relationship Id="rId12" Type="http://schemas.openxmlformats.org/officeDocument/2006/relationships/hyperlink" Target="http://www.brunoleonimedia.it/public/Focus/IBL_Focus_329-Alfieri-Amenta.pdf?http://www.brunoleoni.it/?utm_source=newsletter" TargetMode="External"/><Relationship Id="rId2" Type="http://schemas.openxmlformats.org/officeDocument/2006/relationships/hyperlink" Target="https://www.ildirittodiapprendere.it/libro/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https://www.miur.gov.it/documents/20182/2432359/Circolare+n.6457+del+27+aprile+2020+-+Tabella+Costo+Medio+Studente+2020.pdf/258787bb-b471-5c05-70c8-08692a45257b?version=1.1&amp;t=1587983474300" TargetMode="External"/><Relationship Id="rId6" Type="http://schemas.openxmlformats.org/officeDocument/2006/relationships/hyperlink" Target="https://www.regione.piemonte.it/web/sites/default/files/media/documenti/2020-04/importi_voucher_iscrizione_1.pdf" TargetMode="External"/><Relationship Id="rId11" Type="http://schemas.openxmlformats.org/officeDocument/2006/relationships/hyperlink" Target="http://www.brunoleonimedia.it/public/Focus/IBL_Focus_329-Alfieri-Amenta.pdf?http://www.brunoleoni.it/?utm_source=newsletter" TargetMode="External"/><Relationship Id="rId5" Type="http://schemas.openxmlformats.org/officeDocument/2006/relationships/hyperlink" Target="https://www.regione.piemonte.it/web/sites/default/files/media/documenti/2020-04/importi_voucher_iscrizione_1.pdf" TargetMode="External"/><Relationship Id="rId15" Type="http://schemas.openxmlformats.org/officeDocument/2006/relationships/hyperlink" Target="https://www.miur.gov.it/documents/20182/2432359/m_pi.AOOGABMI.Registro+Decreti%28R%29.0000119.08-09-2020.pdf/5c0bc25b-33ba-ff33-2ebb-44ae49acebd7?version=1.0&amp;t=1600242831030" TargetMode="External"/><Relationship Id="rId10" Type="http://schemas.openxmlformats.org/officeDocument/2006/relationships/hyperlink" Target="https://www.miur.gov.it/documents/20182/2432359/Circolare+n.6457+del+27+aprile+2020+-+Tabella+Costo+Medio+Studente+2020.pdf/258787bb-b471-5c05-70c8-08692a45257b?version=1.1&amp;t=1587983474300" TargetMode="External"/><Relationship Id="rId4" Type="http://schemas.openxmlformats.org/officeDocument/2006/relationships/hyperlink" Target="https://www.regione.piemonte.it/web/sites/default/files/media/documenti/2020-04/importi_voucher_iscrizione_1.pdf" TargetMode="External"/><Relationship Id="rId9" Type="http://schemas.openxmlformats.org/officeDocument/2006/relationships/hyperlink" Target="https://www.miur.gov.it/documents/20182/2432359/Circolare+n.6457+del+27+aprile+2020+-+Tabella+Costo+Medio+Studente+2020.pdf/258787bb-b471-5c05-70c8-08692a45257b?version=1.1&amp;t=1587983474300" TargetMode="External"/><Relationship Id="rId14" Type="http://schemas.openxmlformats.org/officeDocument/2006/relationships/hyperlink" Target="https://www.miur.gov.it/documents/20182/2432359/m_pi.AOOGABMI.Registro+Decreti%28R%29.0000118.08-09-2020.pdf/f913f364-723c-7dd4-4a19-4159b269c282?version=1.0&amp;t=160015421112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ugliausr.gov.it/index.php/diritto-allo-studio/scuole-paritarie/20017-27212-2020" TargetMode="External"/><Relationship Id="rId3" Type="http://schemas.openxmlformats.org/officeDocument/2006/relationships/hyperlink" Target="http://www.brunoleonimedia.it/public/Focus/IBL_Focus_329-Alfieri-Amenta.pdf?http://www.brunoleoni.it/?utm_source=newsletter" TargetMode="External"/><Relationship Id="rId7" Type="http://schemas.openxmlformats.org/officeDocument/2006/relationships/hyperlink" Target="http://www.pugliausr.gov.it/index.php/diritto-allo-studio/scuole-paritarie/20019-27340-2020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s://www.ildirittodiapprendere.it/libro/" TargetMode="External"/><Relationship Id="rId1" Type="http://schemas.openxmlformats.org/officeDocument/2006/relationships/hyperlink" Target="https://www.miur.gov.it/documents/20182/2432359/Circolare+n.6457+del+27+aprile+2020+-+Tabella+Costo+Medio+Studente+2020.pdf/258787bb-b471-5c05-70c8-08692a45257b?version=1.1&amp;t=1587983474300" TargetMode="External"/><Relationship Id="rId6" Type="http://schemas.openxmlformats.org/officeDocument/2006/relationships/hyperlink" Target="http://www.pugliausr.gov.it/index.php/diritto-allo-studio/scuole-paritarie/20019-27340-2020" TargetMode="External"/><Relationship Id="rId11" Type="http://schemas.openxmlformats.org/officeDocument/2006/relationships/hyperlink" Target="https://www.pugliausr.gov.it/index.php/diritto-allo-studio/scuole-paritarie/19987-25632-2020" TargetMode="External"/><Relationship Id="rId5" Type="http://schemas.openxmlformats.org/officeDocument/2006/relationships/hyperlink" Target="http://www.pugliausr.gov.it/index.php/diritto-allo-studio/scuole-paritarie/20019-27340-2020" TargetMode="External"/><Relationship Id="rId10" Type="http://schemas.openxmlformats.org/officeDocument/2006/relationships/hyperlink" Target="https://www.pugliausr.gov.it/index.php/diritto-allo-studio/scuole-paritarie/19987-25632-2020" TargetMode="External"/><Relationship Id="rId4" Type="http://schemas.openxmlformats.org/officeDocument/2006/relationships/hyperlink" Target="http://www.brunoleonimedia.it/public/Focus/IBL_Focus_329-Alfieri-Amenta.pdf?http://www.brunoleoni.it/?utm_source=newsletter" TargetMode="External"/><Relationship Id="rId9" Type="http://schemas.openxmlformats.org/officeDocument/2006/relationships/hyperlink" Target="https://www.pugliausr.gov.it/index.php/diritto-allo-studio/scuole-paritarie/19987-25632-2020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ur.gov.it/documents/20182/2432359/m_pi.AOOGABMI.Registro+Decreti%28R%29.0000119.08-09-2020.pdf/5c0bc25b-33ba-ff33-2ebb-44ae49acebd7?version=1.0&amp;t=1600242831030" TargetMode="External"/><Relationship Id="rId3" Type="http://schemas.openxmlformats.org/officeDocument/2006/relationships/hyperlink" Target="https://www.ildirittodiapprendere.it/libro/" TargetMode="External"/><Relationship Id="rId7" Type="http://schemas.openxmlformats.org/officeDocument/2006/relationships/hyperlink" Target="https://web1.regione.veneto.it/RichiestaBS/pdf/DELIBERA_BANDO.pdf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s://www.miur.gov.it/documents/20182/2432359/Circolare+n.6457+del+27+aprile+2020+-+Tabella+Costo+Medio+Studente+2020.pdf/258787bb-b471-5c05-70c8-08692a45257b?version=1.1&amp;t=1587983474300" TargetMode="External"/><Relationship Id="rId1" Type="http://schemas.openxmlformats.org/officeDocument/2006/relationships/hyperlink" Target="https://www.miur.gov.it/documents/20182/2432359/Circolare+n.6457+del+27+aprile+2020+-+Tabella+Costo+Medio+Studente+2020.pdf/258787bb-b471-5c05-70c8-08692a45257b?version=1.1&amp;t=1587983474300" TargetMode="External"/><Relationship Id="rId6" Type="http://schemas.openxmlformats.org/officeDocument/2006/relationships/hyperlink" Target="https://www.regione.veneto.it/web/rete-degli-urp-del-veneto/scuola-aiuti-agli-studenti" TargetMode="External"/><Relationship Id="rId11" Type="http://schemas.openxmlformats.org/officeDocument/2006/relationships/hyperlink" Target="https://www.miur.gov.it/documents/20182/2432359/m_pi.AOOGABMI.Registro+Decreti%28R%29.0000118.08-09-2020.pdf/f913f364-723c-7dd4-4a19-4159b269c282?version=1.0&amp;t=1600154211125" TargetMode="External"/><Relationship Id="rId5" Type="http://schemas.openxmlformats.org/officeDocument/2006/relationships/hyperlink" Target="http://www.brunoleonimedia.it/public/Focus/IBL_Focus_329-Alfieri-Amenta.pdf?http://www.brunoleoni.it/?utm_source=newsletter" TargetMode="External"/><Relationship Id="rId10" Type="http://schemas.openxmlformats.org/officeDocument/2006/relationships/hyperlink" Target="https://www.miur.gov.it/documents/20182/2432359/m_pi.AOOGABMI.Registro+Decreti%28R%29.0000118.08-09-2020.pdf/f913f364-723c-7dd4-4a19-4159b269c282?version=1.0&amp;t=1600154211125" TargetMode="External"/><Relationship Id="rId4" Type="http://schemas.openxmlformats.org/officeDocument/2006/relationships/hyperlink" Target="http://www.brunoleonimedia.it/public/Focus/IBL_Focus_329-Alfieri-Amenta.pdf?http://www.brunoleoni.it/?utm_source=newsletter" TargetMode="External"/><Relationship Id="rId9" Type="http://schemas.openxmlformats.org/officeDocument/2006/relationships/hyperlink" Target="https://www.miur.gov.it/documents/20182/2432359/m_pi.AOOGABMI.Registro+Decreti%28R%29.0000118.08-09-2020.pdf/f913f364-723c-7dd4-4a19-4159b269c282?version=1.0&amp;t=1600154211125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showGridLines="0" topLeftCell="A19" zoomScale="95" zoomScaleNormal="95" workbookViewId="0">
      <selection activeCell="H33" sqref="H33"/>
    </sheetView>
  </sheetViews>
  <sheetFormatPr defaultRowHeight="14.4"/>
  <cols>
    <col min="1" max="1" width="5.109375" customWidth="1"/>
    <col min="2" max="2" width="17.33203125" customWidth="1"/>
    <col min="3" max="3" width="19.109375" customWidth="1"/>
    <col min="4" max="4" width="17.33203125" customWidth="1"/>
    <col min="5" max="5" width="22.44140625" customWidth="1"/>
    <col min="6" max="6" width="21.88671875" customWidth="1"/>
    <col min="7" max="7" width="18.6640625" customWidth="1"/>
    <col min="8" max="8" width="17.109375" customWidth="1"/>
    <col min="9" max="9" width="10.33203125" customWidth="1"/>
    <col min="10" max="10" width="22.33203125" customWidth="1"/>
    <col min="11" max="11" width="18.6640625" customWidth="1"/>
    <col min="12" max="12" width="19.33203125" customWidth="1"/>
    <col min="13" max="13" width="3.6640625" customWidth="1"/>
    <col min="14" max="14" width="16.6640625" bestFit="1" customWidth="1"/>
    <col min="15" max="15" width="11.33203125" customWidth="1"/>
    <col min="16" max="16" width="18.33203125" customWidth="1"/>
    <col min="17" max="17" width="20.5546875" customWidth="1"/>
  </cols>
  <sheetData>
    <row r="1" spans="2:12" s="84" customFormat="1" ht="18.600000000000001" thickBot="1">
      <c r="B1" s="80" t="s">
        <v>17</v>
      </c>
      <c r="C1" s="81" t="s">
        <v>0</v>
      </c>
      <c r="D1" s="81" t="s">
        <v>1</v>
      </c>
      <c r="E1" s="82" t="s">
        <v>9</v>
      </c>
      <c r="F1" s="83"/>
      <c r="K1" s="85"/>
      <c r="L1" s="85"/>
    </row>
    <row r="2" spans="2:12" ht="19.2" thickTop="1" thickBot="1">
      <c r="B2" s="20" t="s">
        <v>2</v>
      </c>
      <c r="C2" s="21">
        <v>7599259</v>
      </c>
      <c r="D2" s="118">
        <v>10000</v>
      </c>
      <c r="E2" s="22">
        <f>C2*D2</f>
        <v>75992590000</v>
      </c>
      <c r="F2" s="2"/>
    </row>
    <row r="3" spans="2:12" ht="19.2" thickTop="1" thickBot="1">
      <c r="B3" s="20" t="s">
        <v>3</v>
      </c>
      <c r="C3" s="21">
        <v>866805</v>
      </c>
      <c r="D3" s="118">
        <v>500</v>
      </c>
      <c r="E3" s="23">
        <f>C3*D3</f>
        <v>433402500</v>
      </c>
      <c r="F3" s="2"/>
    </row>
    <row r="4" spans="2:12" ht="16.2" thickTop="1">
      <c r="B4" s="20"/>
      <c r="C4" s="24"/>
      <c r="D4" s="24"/>
      <c r="E4" s="25">
        <f>SUM(E2:E3)</f>
        <v>76425992500</v>
      </c>
      <c r="F4" s="2"/>
    </row>
    <row r="5" spans="2:12" ht="4.5" customHeight="1">
      <c r="B5" s="26"/>
      <c r="C5" s="27"/>
      <c r="D5" s="27"/>
      <c r="E5" s="28"/>
      <c r="F5" s="2"/>
    </row>
    <row r="6" spans="2:12">
      <c r="B6" s="29"/>
      <c r="C6" s="29"/>
      <c r="D6" s="29"/>
      <c r="E6" s="29"/>
      <c r="F6" s="2"/>
    </row>
    <row r="7" spans="2:12">
      <c r="B7" s="96"/>
      <c r="C7" s="96"/>
      <c r="D7" s="96"/>
      <c r="E7" s="97"/>
      <c r="F7" s="96"/>
      <c r="G7" s="96"/>
      <c r="H7" s="96"/>
      <c r="I7" s="96"/>
      <c r="J7" s="96"/>
      <c r="K7" s="96"/>
      <c r="L7" s="96"/>
    </row>
    <row r="8" spans="2:12" s="58" customFormat="1" ht="21">
      <c r="B8" s="55" t="s">
        <v>47</v>
      </c>
      <c r="C8" s="56"/>
      <c r="D8" s="56"/>
      <c r="E8" s="56"/>
      <c r="F8" s="57"/>
    </row>
    <row r="9" spans="2:12" s="121" customFormat="1" ht="15.6">
      <c r="B9" s="121" t="s">
        <v>18</v>
      </c>
    </row>
    <row r="10" spans="2:12" ht="28.8">
      <c r="B10" s="19" t="s">
        <v>10</v>
      </c>
      <c r="C10" s="78" t="s">
        <v>8</v>
      </c>
      <c r="D10" s="109" t="s">
        <v>14</v>
      </c>
      <c r="E10" s="78" t="s">
        <v>29</v>
      </c>
      <c r="F10" s="109" t="s">
        <v>13</v>
      </c>
      <c r="G10" s="78"/>
      <c r="H10" s="78" t="s">
        <v>54</v>
      </c>
      <c r="I10" s="78"/>
      <c r="J10" s="110" t="s">
        <v>16</v>
      </c>
      <c r="K10" s="78" t="s">
        <v>11</v>
      </c>
      <c r="L10" s="110" t="s">
        <v>15</v>
      </c>
    </row>
    <row r="11" spans="2:12">
      <c r="B11" t="s">
        <v>4</v>
      </c>
      <c r="C11" s="1">
        <v>901052</v>
      </c>
      <c r="D11" s="9">
        <v>4573.91</v>
      </c>
      <c r="E11" s="7">
        <f>C11*D11</f>
        <v>4121330753.3199997</v>
      </c>
      <c r="F11" s="9">
        <f>C11*D11</f>
        <v>4121330753.3199997</v>
      </c>
      <c r="H11" s="3">
        <f>K11*700</f>
        <v>15611400</v>
      </c>
      <c r="I11" s="3"/>
      <c r="J11" s="6">
        <f>F11+H11</f>
        <v>4136942153.3199997</v>
      </c>
      <c r="K11" s="1">
        <v>22302</v>
      </c>
      <c r="L11" s="6">
        <v>5369.58</v>
      </c>
    </row>
    <row r="12" spans="2:12">
      <c r="B12" t="s">
        <v>5</v>
      </c>
      <c r="C12" s="1">
        <v>2443092</v>
      </c>
      <c r="D12" s="9">
        <v>4851.1899999999996</v>
      </c>
      <c r="E12" s="7">
        <f t="shared" ref="E12:E14" si="0">C12*D12</f>
        <v>11851903479.48</v>
      </c>
      <c r="F12" s="9">
        <f>C12*D12</f>
        <v>11851903479.48</v>
      </c>
      <c r="H12" s="3">
        <f>K12*700</f>
        <v>66775100</v>
      </c>
      <c r="I12" s="3"/>
      <c r="J12" s="6">
        <f>F12+H12</f>
        <v>11918678579.48</v>
      </c>
      <c r="K12" s="1">
        <v>95393</v>
      </c>
      <c r="L12" s="6">
        <v>5646.87</v>
      </c>
    </row>
    <row r="13" spans="2:12">
      <c r="B13" t="s">
        <v>6</v>
      </c>
      <c r="C13" s="1">
        <v>1628889</v>
      </c>
      <c r="D13" s="9">
        <v>6968.9</v>
      </c>
      <c r="E13" s="7">
        <f t="shared" si="0"/>
        <v>11351564552.099998</v>
      </c>
      <c r="F13" s="9">
        <f>C13*D13</f>
        <v>11351564552.099998</v>
      </c>
      <c r="H13" s="3">
        <f>K13*700</f>
        <v>48314700</v>
      </c>
      <c r="I13" s="3"/>
      <c r="J13" s="6">
        <f>F13+H13</f>
        <v>11399879252.099998</v>
      </c>
      <c r="K13" s="1">
        <v>69021</v>
      </c>
      <c r="L13" s="6">
        <v>7849.04</v>
      </c>
    </row>
    <row r="14" spans="2:12" ht="15" thickBot="1">
      <c r="B14" t="s">
        <v>7</v>
      </c>
      <c r="C14" s="4">
        <v>2626226</v>
      </c>
      <c r="D14" s="9">
        <v>6143.58</v>
      </c>
      <c r="E14" s="16">
        <f t="shared" si="0"/>
        <v>16134429529.08</v>
      </c>
      <c r="F14" s="10">
        <f>C14*D14</f>
        <v>16134429529.08</v>
      </c>
      <c r="H14" s="5">
        <f>K14*700</f>
        <v>51128700</v>
      </c>
      <c r="I14" s="5"/>
      <c r="J14" s="8">
        <f>F14+H14</f>
        <v>16185558229.08</v>
      </c>
      <c r="K14" s="4">
        <v>73041</v>
      </c>
      <c r="L14" s="6">
        <v>7069.12</v>
      </c>
    </row>
    <row r="15" spans="2:12" ht="15" thickTop="1">
      <c r="B15" s="11" t="s">
        <v>12</v>
      </c>
      <c r="C15" s="12">
        <f>SUM(C11:C14)</f>
        <v>7599259</v>
      </c>
      <c r="D15" s="13"/>
      <c r="E15" s="18">
        <f>SUM(E11:E14)</f>
        <v>43459228313.979996</v>
      </c>
      <c r="F15" s="13">
        <f>SUM(F11:F14)</f>
        <v>43459228313.979996</v>
      </c>
      <c r="H15" s="15">
        <f>SUM(H11:H14)</f>
        <v>181829900</v>
      </c>
      <c r="I15" s="15"/>
      <c r="J15" s="14">
        <f>F15+H15</f>
        <v>43641058213.979996</v>
      </c>
      <c r="K15" s="12">
        <f>SUM(K11:K14)</f>
        <v>259757</v>
      </c>
      <c r="L15" s="14"/>
    </row>
    <row r="17" spans="2:12" ht="28.8">
      <c r="B17" s="11" t="s">
        <v>19</v>
      </c>
      <c r="C17" s="111"/>
      <c r="D17" s="112" t="s">
        <v>14</v>
      </c>
      <c r="E17" s="113" t="s">
        <v>31</v>
      </c>
      <c r="L17" s="110" t="s">
        <v>15</v>
      </c>
    </row>
    <row r="18" spans="2:12">
      <c r="B18" t="s">
        <v>4</v>
      </c>
      <c r="C18" s="1">
        <v>524031</v>
      </c>
      <c r="D18" s="30">
        <v>4573.91</v>
      </c>
      <c r="E18" s="7">
        <f>C18*D18</f>
        <v>2396870631.21</v>
      </c>
      <c r="L18" s="6">
        <v>5369.58</v>
      </c>
    </row>
    <row r="19" spans="2:12">
      <c r="B19" t="s">
        <v>5</v>
      </c>
      <c r="C19" s="1">
        <v>167667</v>
      </c>
      <c r="D19" s="30">
        <v>4851.1899999999996</v>
      </c>
      <c r="E19" s="7">
        <f t="shared" ref="E19:E21" si="1">C19*D19</f>
        <v>813384473.7299999</v>
      </c>
      <c r="L19" s="6">
        <v>5646.87</v>
      </c>
    </row>
    <row r="20" spans="2:12">
      <c r="B20" t="s">
        <v>6</v>
      </c>
      <c r="C20" s="1">
        <v>65406</v>
      </c>
      <c r="D20" s="30">
        <v>6968.9</v>
      </c>
      <c r="E20" s="7">
        <f t="shared" si="1"/>
        <v>455807873.39999998</v>
      </c>
      <c r="L20" s="6">
        <v>7849.04</v>
      </c>
    </row>
    <row r="21" spans="2:12" ht="15" thickBot="1">
      <c r="B21" t="s">
        <v>7</v>
      </c>
      <c r="C21" s="4">
        <v>109701</v>
      </c>
      <c r="D21" s="30">
        <v>6143.58</v>
      </c>
      <c r="E21" s="16">
        <f t="shared" si="1"/>
        <v>673956869.58000004</v>
      </c>
      <c r="F21" s="17"/>
      <c r="L21" s="6">
        <v>7069.12</v>
      </c>
    </row>
    <row r="22" spans="2:12" ht="15" thickTop="1">
      <c r="B22" s="11" t="s">
        <v>12</v>
      </c>
      <c r="C22" s="12">
        <f>SUM(C18:C21)</f>
        <v>866805</v>
      </c>
      <c r="D22" s="31"/>
      <c r="E22" s="18">
        <f>SUM(E18:E21)</f>
        <v>4340019847.9200001</v>
      </c>
      <c r="L22" s="14"/>
    </row>
    <row r="23" spans="2:12">
      <c r="D23" s="32"/>
    </row>
    <row r="24" spans="2:12" s="66" customFormat="1" ht="15.6">
      <c r="B24" s="175" t="s">
        <v>79</v>
      </c>
      <c r="C24" s="176"/>
      <c r="D24" s="176"/>
      <c r="E24" s="177">
        <f>SUM(E15,E22)</f>
        <v>47799248161.899994</v>
      </c>
    </row>
    <row r="30" spans="2:12">
      <c r="B30" s="35"/>
      <c r="C30" s="35"/>
      <c r="D30" s="35"/>
      <c r="E30" s="36"/>
      <c r="F30" s="35"/>
      <c r="G30" s="35"/>
      <c r="H30" s="35"/>
      <c r="I30" s="35"/>
      <c r="J30" s="35"/>
      <c r="K30" s="35"/>
      <c r="L30" s="35"/>
    </row>
    <row r="31" spans="2:12">
      <c r="B31" s="35"/>
      <c r="C31" s="35"/>
      <c r="D31" s="35"/>
      <c r="E31" s="36"/>
      <c r="F31" s="35"/>
      <c r="G31" s="35"/>
      <c r="H31" s="35"/>
      <c r="I31" s="35"/>
      <c r="J31" s="35"/>
      <c r="K31" s="35"/>
      <c r="L31" s="35"/>
    </row>
    <row r="32" spans="2:12" s="187" customFormat="1" ht="39" customHeight="1">
      <c r="B32" s="186" t="s">
        <v>42</v>
      </c>
    </row>
    <row r="33" spans="2:12" ht="39" customHeight="1" thickBot="1">
      <c r="D33" s="613" t="s">
        <v>14</v>
      </c>
      <c r="E33" s="208" t="s">
        <v>80</v>
      </c>
      <c r="F33" s="609" t="s">
        <v>52</v>
      </c>
      <c r="H33" s="78"/>
      <c r="I33" s="78"/>
      <c r="J33" s="614" t="s">
        <v>30</v>
      </c>
      <c r="K33" s="615" t="s">
        <v>33</v>
      </c>
      <c r="L33" s="609" t="s">
        <v>34</v>
      </c>
    </row>
    <row r="34" spans="2:12" ht="19.2" thickTop="1" thickBot="1">
      <c r="B34" s="11" t="s">
        <v>19</v>
      </c>
      <c r="D34" s="613"/>
      <c r="E34" s="209">
        <v>0.3</v>
      </c>
      <c r="F34" s="609"/>
      <c r="H34" s="11" t="s">
        <v>19</v>
      </c>
      <c r="J34" s="614"/>
      <c r="K34" s="615"/>
      <c r="L34" s="609"/>
    </row>
    <row r="35" spans="2:12" ht="15" thickTop="1">
      <c r="B35" t="s">
        <v>4</v>
      </c>
      <c r="C35" s="1">
        <v>524031</v>
      </c>
      <c r="D35" s="30">
        <v>4573.91</v>
      </c>
      <c r="E35" s="210">
        <f>D35*$E$34</f>
        <v>1372.173</v>
      </c>
      <c r="F35" s="183">
        <f>D35-E35</f>
        <v>3201.7370000000001</v>
      </c>
      <c r="H35" t="s">
        <v>4</v>
      </c>
      <c r="I35" s="1">
        <v>524031</v>
      </c>
      <c r="J35" s="178">
        <f>C35*F35</f>
        <v>1677809441.8470001</v>
      </c>
      <c r="K35" s="64">
        <f>C56</f>
        <v>457664357.35799998</v>
      </c>
      <c r="L35" s="181">
        <f>J35-K35</f>
        <v>1220145084.4890001</v>
      </c>
    </row>
    <row r="36" spans="2:12">
      <c r="B36" t="s">
        <v>5</v>
      </c>
      <c r="C36" s="1">
        <v>167667</v>
      </c>
      <c r="D36" s="30">
        <v>4851.1899999999996</v>
      </c>
      <c r="E36" s="210">
        <f t="shared" ref="E36:E38" si="2">D36*$E$34</f>
        <v>1455.3569999999997</v>
      </c>
      <c r="F36" s="183">
        <f>D36-E36</f>
        <v>3395.8329999999996</v>
      </c>
      <c r="H36" t="s">
        <v>5</v>
      </c>
      <c r="I36" s="1">
        <v>167667</v>
      </c>
      <c r="J36" s="178">
        <f>C36*F36</f>
        <v>569369131.61099994</v>
      </c>
      <c r="K36" s="64">
        <f>D56</f>
        <v>52630000</v>
      </c>
      <c r="L36" s="181">
        <f t="shared" ref="L36:L38" si="3">J36-K36</f>
        <v>516739131.61099994</v>
      </c>
    </row>
    <row r="37" spans="2:12">
      <c r="B37" t="s">
        <v>6</v>
      </c>
      <c r="C37" s="1">
        <v>65406</v>
      </c>
      <c r="D37" s="30">
        <v>6968.9</v>
      </c>
      <c r="E37" s="210">
        <f t="shared" si="2"/>
        <v>2090.6699999999996</v>
      </c>
      <c r="F37" s="183">
        <f>D37-E37</f>
        <v>4878.2299999999996</v>
      </c>
      <c r="H37" t="s">
        <v>6</v>
      </c>
      <c r="I37" s="1">
        <v>65406</v>
      </c>
      <c r="J37" s="178">
        <f>C37*F37</f>
        <v>319065511.38</v>
      </c>
      <c r="K37" s="64">
        <f>E56</f>
        <v>8991476.4399999995</v>
      </c>
      <c r="L37" s="181">
        <f t="shared" si="3"/>
        <v>310074034.94</v>
      </c>
    </row>
    <row r="38" spans="2:12" ht="15" thickBot="1">
      <c r="B38" t="s">
        <v>7</v>
      </c>
      <c r="C38" s="4">
        <v>109701</v>
      </c>
      <c r="D38" s="30">
        <v>6143.58</v>
      </c>
      <c r="E38" s="210">
        <f t="shared" si="2"/>
        <v>1843.0739999999998</v>
      </c>
      <c r="F38" s="183">
        <f>D38-E38</f>
        <v>4300.5060000000003</v>
      </c>
      <c r="H38" t="s">
        <v>7</v>
      </c>
      <c r="I38" s="4">
        <v>109701</v>
      </c>
      <c r="J38" s="179">
        <f>C38*F38</f>
        <v>471769808.70600003</v>
      </c>
      <c r="K38" s="65">
        <f>G56</f>
        <v>16391484.379999999</v>
      </c>
      <c r="L38" s="182">
        <f t="shared" si="3"/>
        <v>455378324.32600003</v>
      </c>
    </row>
    <row r="39" spans="2:12" ht="15" thickTop="1">
      <c r="B39" s="11" t="s">
        <v>12</v>
      </c>
      <c r="C39" s="12">
        <f>SUM(C35:C38)</f>
        <v>866805</v>
      </c>
      <c r="D39" s="31"/>
      <c r="E39" s="211"/>
      <c r="F39" s="184"/>
      <c r="G39" s="34"/>
      <c r="H39" s="11" t="s">
        <v>12</v>
      </c>
      <c r="I39" s="12">
        <f>SUM(I35:I38)</f>
        <v>866805</v>
      </c>
      <c r="J39" s="180">
        <f>SUM(J35:J38)</f>
        <v>3038013893.5440001</v>
      </c>
      <c r="K39" s="64">
        <f>SUM(K35:K38)</f>
        <v>535677318.17799997</v>
      </c>
      <c r="L39" s="183">
        <f>SUM(L35:L38)</f>
        <v>2502336575.3660002</v>
      </c>
    </row>
    <row r="40" spans="2:12" ht="9" customHeight="1">
      <c r="D40" s="31"/>
      <c r="E40" s="185"/>
      <c r="F40" s="184"/>
      <c r="G40" s="63"/>
      <c r="H40" s="11"/>
      <c r="I40" s="12"/>
      <c r="J40" s="180"/>
      <c r="K40" s="64"/>
      <c r="L40" s="183"/>
    </row>
    <row r="41" spans="2:12">
      <c r="E41" s="63"/>
      <c r="F41" s="63"/>
      <c r="G41" s="63"/>
      <c r="H41" s="63"/>
      <c r="I41" s="63"/>
      <c r="J41" s="63"/>
      <c r="K41" s="63"/>
      <c r="L41" s="63"/>
    </row>
    <row r="42" spans="2:12">
      <c r="F42" s="63"/>
      <c r="G42" s="63"/>
      <c r="H42" s="63"/>
      <c r="I42" s="63"/>
      <c r="J42" s="63"/>
      <c r="K42" s="63"/>
      <c r="L42" s="63"/>
    </row>
    <row r="43" spans="2:12">
      <c r="B43" s="33" t="s">
        <v>20</v>
      </c>
      <c r="C43" s="33"/>
      <c r="D43" s="33"/>
      <c r="E43" s="33"/>
      <c r="F43" s="33"/>
      <c r="G43" s="63"/>
      <c r="H43" s="63"/>
      <c r="I43" s="63"/>
      <c r="J43" s="63"/>
      <c r="K43" s="63"/>
      <c r="L43" s="63"/>
    </row>
    <row r="44" spans="2:12" s="60" customFormat="1" ht="24.75" customHeight="1">
      <c r="B44" s="611" t="s">
        <v>83</v>
      </c>
      <c r="C44" s="611"/>
      <c r="D44" s="61">
        <v>1</v>
      </c>
      <c r="E44" s="59"/>
      <c r="F44" s="59"/>
    </row>
    <row r="45" spans="2:12" s="60" customFormat="1" ht="23.25" customHeight="1">
      <c r="B45" s="612" t="s">
        <v>21</v>
      </c>
      <c r="C45" s="612"/>
      <c r="D45" s="61">
        <v>0.9</v>
      </c>
      <c r="E45" s="59" t="s">
        <v>22</v>
      </c>
      <c r="F45" s="59"/>
    </row>
    <row r="46" spans="2:12" ht="24" customHeight="1">
      <c r="B46" s="33"/>
      <c r="C46" s="33"/>
      <c r="D46" s="33"/>
      <c r="E46" s="33"/>
      <c r="F46" s="33"/>
    </row>
    <row r="47" spans="2:12" s="58" customFormat="1" ht="21">
      <c r="B47" s="55" t="s">
        <v>23</v>
      </c>
      <c r="C47" s="55"/>
      <c r="D47" s="55"/>
      <c r="E47" s="62"/>
      <c r="F47" s="62"/>
    </row>
    <row r="48" spans="2:12" ht="24.75" customHeight="1">
      <c r="B48" s="33"/>
      <c r="C48" s="33"/>
      <c r="D48" s="33"/>
      <c r="E48" s="33"/>
      <c r="F48" s="33"/>
    </row>
    <row r="49" spans="2:10" s="100" customFormat="1" ht="21">
      <c r="B49" s="98" t="s">
        <v>24</v>
      </c>
      <c r="C49" s="98"/>
      <c r="D49" s="98"/>
      <c r="E49" s="99"/>
      <c r="F49" s="99"/>
    </row>
    <row r="50" spans="2:10" s="100" customFormat="1" ht="21">
      <c r="B50" s="101" t="s">
        <v>39</v>
      </c>
      <c r="C50" s="98"/>
      <c r="D50" s="98"/>
      <c r="E50" s="99"/>
      <c r="F50" s="99"/>
    </row>
    <row r="51" spans="2:10" s="66" customFormat="1" ht="15.6">
      <c r="B51" s="102"/>
      <c r="C51" s="104" t="s">
        <v>25</v>
      </c>
      <c r="D51" s="104" t="s">
        <v>26</v>
      </c>
      <c r="E51" s="104" t="s">
        <v>27</v>
      </c>
      <c r="F51" s="104" t="s">
        <v>28</v>
      </c>
      <c r="G51" s="104" t="s">
        <v>32</v>
      </c>
    </row>
    <row r="52" spans="2:10" s="66" customFormat="1" ht="94.5" customHeight="1">
      <c r="B52" s="103"/>
      <c r="C52" s="105" t="s">
        <v>48</v>
      </c>
      <c r="D52" s="106" t="s">
        <v>49</v>
      </c>
      <c r="E52" s="105" t="s">
        <v>50</v>
      </c>
      <c r="F52" s="107"/>
      <c r="G52" s="105" t="s">
        <v>51</v>
      </c>
    </row>
    <row r="53" spans="2:10" s="66" customFormat="1" ht="15.6">
      <c r="B53" s="67" t="s">
        <v>35</v>
      </c>
      <c r="C53" s="86">
        <v>8957</v>
      </c>
      <c r="D53" s="86">
        <v>1385</v>
      </c>
      <c r="E53" s="212">
        <v>662</v>
      </c>
      <c r="F53" s="87"/>
      <c r="G53" s="86">
        <v>1600</v>
      </c>
    </row>
    <row r="54" spans="2:10" s="66" customFormat="1" ht="15.6">
      <c r="B54" s="68" t="s">
        <v>36</v>
      </c>
      <c r="C54" s="69">
        <f>C53*9102.76</f>
        <v>81533421.320000008</v>
      </c>
      <c r="D54" s="69">
        <f>(D53/5)*190000</f>
        <v>52630000</v>
      </c>
      <c r="E54" s="69">
        <f>E53*2676.68</f>
        <v>1771962.16</v>
      </c>
      <c r="F54" s="70"/>
      <c r="G54" s="69">
        <f>G53*2676.68</f>
        <v>4282688</v>
      </c>
      <c r="J54" s="610" t="s">
        <v>55</v>
      </c>
    </row>
    <row r="55" spans="2:10" s="66" customFormat="1" ht="16.2" thickBot="1">
      <c r="B55" s="71" t="s">
        <v>37</v>
      </c>
      <c r="C55" s="72">
        <f>(C35/15)*10766.47</f>
        <v>376130936.03799999</v>
      </c>
      <c r="D55" s="72"/>
      <c r="E55" s="72">
        <f>C20*110.38</f>
        <v>7219514.2799999993</v>
      </c>
      <c r="F55" s="73"/>
      <c r="G55" s="72">
        <f>C21*110.38</f>
        <v>12108796.379999999</v>
      </c>
      <c r="J55" s="610"/>
    </row>
    <row r="56" spans="2:10" s="66" customFormat="1" ht="16.2" thickTop="1">
      <c r="B56" s="74" t="s">
        <v>38</v>
      </c>
      <c r="C56" s="75">
        <f>SUM(C54:C55)</f>
        <v>457664357.35799998</v>
      </c>
      <c r="D56" s="75">
        <f>SUM(D54:D55)</f>
        <v>52630000</v>
      </c>
      <c r="E56" s="75">
        <f>SUM(E54:E55)</f>
        <v>8991476.4399999995</v>
      </c>
      <c r="F56" s="76"/>
      <c r="G56" s="75">
        <f>SUM(G54:G55)</f>
        <v>16391484.379999999</v>
      </c>
      <c r="J56" s="108">
        <f>C56+D56+E56+G56</f>
        <v>535677318.17799997</v>
      </c>
    </row>
    <row r="57" spans="2:10" s="91" customFormat="1" ht="15.6">
      <c r="B57" s="88"/>
      <c r="C57" s="89"/>
      <c r="D57" s="89"/>
      <c r="E57" s="89"/>
      <c r="F57" s="90"/>
      <c r="G57" s="89"/>
      <c r="J57" s="92"/>
    </row>
    <row r="58" spans="2:10" s="91" customFormat="1" ht="15.6">
      <c r="B58" s="88"/>
      <c r="C58" s="89"/>
      <c r="D58" s="89"/>
      <c r="E58" s="89"/>
      <c r="F58" s="90"/>
      <c r="G58" s="89"/>
      <c r="J58" s="92"/>
    </row>
    <row r="59" spans="2:10" s="66" customFormat="1" ht="15.6">
      <c r="B59" s="93" t="s">
        <v>40</v>
      </c>
      <c r="C59" s="77"/>
      <c r="D59" s="77"/>
      <c r="E59" s="77"/>
      <c r="F59" s="77"/>
    </row>
    <row r="60" spans="2:10" s="66" customFormat="1" ht="44.25" customHeight="1">
      <c r="B60" s="93"/>
      <c r="C60" s="77"/>
      <c r="D60" s="77"/>
      <c r="E60" s="77"/>
      <c r="F60" s="77"/>
    </row>
    <row r="61" spans="2:10" s="66" customFormat="1" ht="15.6">
      <c r="B61" s="93" t="s">
        <v>41</v>
      </c>
      <c r="C61" s="77"/>
      <c r="D61" s="77"/>
      <c r="E61" s="77"/>
      <c r="F61" s="77"/>
    </row>
    <row r="62" spans="2:10" s="63" customFormat="1"/>
  </sheetData>
  <mergeCells count="8">
    <mergeCell ref="L33:L34"/>
    <mergeCell ref="J54:J55"/>
    <mergeCell ref="B44:C44"/>
    <mergeCell ref="B45:C45"/>
    <mergeCell ref="D33:D34"/>
    <mergeCell ref="F33:F34"/>
    <mergeCell ref="J33:J34"/>
    <mergeCell ref="K33:K34"/>
  </mergeCells>
  <printOptions horizontalCentered="1"/>
  <pageMargins left="0" right="0" top="0.74803149606299213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workbookViewId="0">
      <selection activeCell="E28" sqref="E28"/>
    </sheetView>
  </sheetViews>
  <sheetFormatPr defaultRowHeight="14.4"/>
  <cols>
    <col min="2" max="2" width="71.88671875" bestFit="1" customWidth="1"/>
    <col min="3" max="3" width="11" bestFit="1" customWidth="1"/>
    <col min="5" max="5" width="32.109375" bestFit="1" customWidth="1"/>
  </cols>
  <sheetData>
    <row r="2" spans="1:4" ht="21">
      <c r="B2" s="263" t="s">
        <v>98</v>
      </c>
      <c r="C2" s="263" t="s">
        <v>99</v>
      </c>
    </row>
    <row r="4" spans="1:4">
      <c r="A4">
        <v>1</v>
      </c>
      <c r="B4" s="111" t="s">
        <v>115</v>
      </c>
    </row>
    <row r="5" spans="1:4" s="260" customFormat="1">
      <c r="B5" s="259" t="s">
        <v>101</v>
      </c>
    </row>
    <row r="6" spans="1:4">
      <c r="B6" s="111" t="s">
        <v>100</v>
      </c>
      <c r="C6" s="262">
        <f>632*0.19</f>
        <v>120.08</v>
      </c>
    </row>
    <row r="7" spans="1:4">
      <c r="B7" s="260" t="s">
        <v>102</v>
      </c>
      <c r="C7" s="262"/>
    </row>
    <row r="8" spans="1:4" ht="5.25" customHeight="1">
      <c r="B8" s="260"/>
      <c r="C8" s="262"/>
    </row>
    <row r="9" spans="1:4">
      <c r="A9">
        <v>2</v>
      </c>
      <c r="B9" s="111" t="s">
        <v>106</v>
      </c>
      <c r="C9" s="262"/>
    </row>
    <row r="10" spans="1:4">
      <c r="B10" s="60" t="s">
        <v>107</v>
      </c>
      <c r="C10" s="262">
        <v>3000</v>
      </c>
    </row>
    <row r="11" spans="1:4">
      <c r="B11" s="60" t="s">
        <v>108</v>
      </c>
      <c r="C11" s="262">
        <v>2500</v>
      </c>
    </row>
    <row r="12" spans="1:4">
      <c r="B12" s="60" t="s">
        <v>109</v>
      </c>
      <c r="C12" s="262">
        <v>1500</v>
      </c>
    </row>
    <row r="13" spans="1:4">
      <c r="B13" s="60"/>
    </row>
    <row r="15" spans="1:4">
      <c r="A15">
        <v>1</v>
      </c>
      <c r="B15" s="111" t="s">
        <v>116</v>
      </c>
    </row>
    <row r="16" spans="1:4">
      <c r="B16" s="259" t="s">
        <v>103</v>
      </c>
      <c r="C16" s="260"/>
      <c r="D16" s="260"/>
    </row>
    <row r="17" spans="1:5">
      <c r="B17" s="260" t="s">
        <v>110</v>
      </c>
      <c r="C17" s="260"/>
      <c r="D17" s="260"/>
      <c r="E17" s="260"/>
    </row>
    <row r="18" spans="1:5">
      <c r="B18" s="60" t="s">
        <v>100</v>
      </c>
      <c r="C18" s="261">
        <f>800*0.19</f>
        <v>152</v>
      </c>
    </row>
    <row r="19" spans="1:5">
      <c r="B19" s="60"/>
      <c r="C19" s="261"/>
    </row>
    <row r="20" spans="1:5">
      <c r="A20">
        <v>2</v>
      </c>
      <c r="B20" s="111" t="s">
        <v>117</v>
      </c>
      <c r="C20" s="261"/>
    </row>
    <row r="21" spans="1:5">
      <c r="B21" s="60" t="s">
        <v>113</v>
      </c>
      <c r="C21" s="261"/>
    </row>
    <row r="22" spans="1:5">
      <c r="B22" s="60" t="s">
        <v>114</v>
      </c>
    </row>
    <row r="23" spans="1:5">
      <c r="B23" s="60"/>
    </row>
    <row r="24" spans="1:5">
      <c r="B24" s="11" t="s">
        <v>111</v>
      </c>
    </row>
    <row r="25" spans="1:5">
      <c r="B25" s="260" t="s">
        <v>104</v>
      </c>
    </row>
    <row r="26" spans="1:5">
      <c r="B26" s="60" t="s">
        <v>100</v>
      </c>
      <c r="C26" s="261">
        <f>250*0.19</f>
        <v>47.5</v>
      </c>
    </row>
    <row r="28" spans="1:5">
      <c r="B28" s="111" t="s">
        <v>105</v>
      </c>
    </row>
    <row r="29" spans="1:5">
      <c r="B29" s="259" t="s">
        <v>103</v>
      </c>
      <c r="C29" s="260"/>
      <c r="D29" s="260"/>
    </row>
    <row r="30" spans="1:5">
      <c r="B30" s="60" t="s">
        <v>100</v>
      </c>
      <c r="C30" s="261">
        <f>800*0.19</f>
        <v>152</v>
      </c>
    </row>
    <row r="32" spans="1:5">
      <c r="B32" s="111" t="s">
        <v>112</v>
      </c>
    </row>
    <row r="33" spans="2:2">
      <c r="B33" s="259" t="s">
        <v>103</v>
      </c>
    </row>
    <row r="34" spans="2:2">
      <c r="B34" s="60" t="s"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5" sqref="C5"/>
    </sheetView>
  </sheetViews>
  <sheetFormatPr defaultColWidth="9.109375" defaultRowHeight="14.4"/>
  <cols>
    <col min="1" max="1" width="24" style="32" customWidth="1"/>
    <col min="2" max="2" width="10.109375" style="32" bestFit="1" customWidth="1"/>
    <col min="3" max="3" width="12.109375" style="32" customWidth="1"/>
    <col min="4" max="4" width="16.5546875" style="32" customWidth="1"/>
    <col min="5" max="5" width="20.6640625" style="32" customWidth="1"/>
    <col min="6" max="6" width="24.88671875" style="32" customWidth="1"/>
    <col min="7" max="7" width="23.88671875" style="32" customWidth="1"/>
    <col min="8" max="16384" width="9.109375" style="32"/>
  </cols>
  <sheetData>
    <row r="1" spans="1:6" s="159" customFormat="1" ht="18">
      <c r="A1" s="159" t="s">
        <v>60</v>
      </c>
      <c r="C1" s="158"/>
    </row>
    <row r="2" spans="1:6" ht="57.6">
      <c r="A2" s="151" t="s">
        <v>67</v>
      </c>
      <c r="B2" s="151" t="s">
        <v>68</v>
      </c>
      <c r="C2" s="152" t="s">
        <v>69</v>
      </c>
      <c r="D2" s="152" t="s">
        <v>70</v>
      </c>
      <c r="E2" s="152" t="s">
        <v>71</v>
      </c>
      <c r="F2" s="153" t="s">
        <v>72</v>
      </c>
    </row>
    <row r="3" spans="1:6">
      <c r="A3" s="147" t="s">
        <v>65</v>
      </c>
      <c r="B3" s="154">
        <v>7599259</v>
      </c>
      <c r="C3" s="154">
        <v>245723</v>
      </c>
      <c r="D3" s="161">
        <v>20016</v>
      </c>
      <c r="E3" s="155">
        <v>4918411476</v>
      </c>
      <c r="F3" s="160" t="s">
        <v>73</v>
      </c>
    </row>
    <row r="4" spans="1:6">
      <c r="A4" s="147"/>
      <c r="B4" s="154"/>
      <c r="C4" s="154"/>
      <c r="D4" s="161"/>
      <c r="E4" s="155"/>
      <c r="F4" s="156"/>
    </row>
    <row r="5" spans="1:6">
      <c r="A5" s="147" t="s">
        <v>66</v>
      </c>
      <c r="B5" s="154">
        <v>866805</v>
      </c>
      <c r="C5" s="154">
        <v>13601</v>
      </c>
      <c r="D5" s="161">
        <v>1716</v>
      </c>
      <c r="E5" s="155">
        <v>23335165</v>
      </c>
      <c r="F5" s="157">
        <v>248902451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F12" sqref="F12"/>
    </sheetView>
  </sheetViews>
  <sheetFormatPr defaultRowHeight="14.4"/>
  <cols>
    <col min="1" max="1" width="24" customWidth="1"/>
    <col min="2" max="2" width="11.88671875" customWidth="1"/>
    <col min="3" max="3" width="1.33203125" customWidth="1"/>
    <col min="4" max="4" width="11" customWidth="1"/>
    <col min="5" max="5" width="8.44140625" customWidth="1"/>
    <col min="6" max="6" width="10.109375" bestFit="1" customWidth="1"/>
    <col min="8" max="9" width="23.88671875" customWidth="1"/>
    <col min="10" max="10" width="28.6640625" customWidth="1"/>
    <col min="11" max="11" width="23.88671875" customWidth="1"/>
  </cols>
  <sheetData>
    <row r="2" spans="1:7" s="83" customFormat="1" ht="18">
      <c r="B2" s="697" t="s">
        <v>58</v>
      </c>
      <c r="C2" s="698"/>
      <c r="D2" s="697" t="s">
        <v>59</v>
      </c>
      <c r="E2" s="698"/>
      <c r="F2" s="697" t="s">
        <v>60</v>
      </c>
      <c r="G2" s="698"/>
    </row>
    <row r="3" spans="1:7" s="11" customFormat="1">
      <c r="A3" s="11" t="s">
        <v>64</v>
      </c>
      <c r="B3" s="148">
        <v>8826892</v>
      </c>
      <c r="C3" s="149"/>
      <c r="D3" s="146">
        <v>8561811</v>
      </c>
      <c r="E3" s="125">
        <f>D3-B3</f>
        <v>-265081</v>
      </c>
      <c r="F3" s="124">
        <v>8466064</v>
      </c>
      <c r="G3" s="125">
        <f>F3-D3</f>
        <v>-95747</v>
      </c>
    </row>
    <row r="4" spans="1:7" s="119" customFormat="1" ht="12">
      <c r="B4" s="127"/>
      <c r="D4" s="127"/>
      <c r="E4" s="126" t="s">
        <v>63</v>
      </c>
      <c r="F4" s="126"/>
      <c r="G4" s="126" t="s">
        <v>63</v>
      </c>
    </row>
    <row r="5" spans="1:7" s="111" customFormat="1" ht="46.5" customHeight="1">
      <c r="A5" s="128" t="s">
        <v>61</v>
      </c>
      <c r="B5" s="129">
        <v>1109585</v>
      </c>
      <c r="C5" s="137"/>
      <c r="D5" s="140">
        <v>879158</v>
      </c>
      <c r="E5" s="130">
        <f>D5-B5</f>
        <v>-230427</v>
      </c>
      <c r="F5" s="140">
        <v>866805</v>
      </c>
      <c r="G5" s="130">
        <f>F5-D5</f>
        <v>-12353</v>
      </c>
    </row>
    <row r="6" spans="1:7" s="111" customFormat="1">
      <c r="A6" s="131"/>
      <c r="B6" s="132">
        <f>B5/B$3</f>
        <v>0.12570506130583675</v>
      </c>
      <c r="C6" s="138"/>
      <c r="D6" s="141">
        <f>D5/D$3</f>
        <v>0.1026836495222798</v>
      </c>
      <c r="E6" s="133"/>
      <c r="F6" s="141">
        <f>F5/F$3</f>
        <v>0.10238583124342079</v>
      </c>
      <c r="G6" s="133"/>
    </row>
    <row r="7" spans="1:7">
      <c r="A7" s="41"/>
      <c r="B7" s="134"/>
      <c r="C7" s="139"/>
      <c r="D7" s="142"/>
      <c r="E7" s="143"/>
      <c r="F7" s="142"/>
      <c r="G7" s="133"/>
    </row>
    <row r="8" spans="1:7" s="111" customFormat="1" ht="52.5" customHeight="1">
      <c r="A8" s="131" t="s">
        <v>62</v>
      </c>
      <c r="B8" s="135">
        <f>B3-B5</f>
        <v>7717307</v>
      </c>
      <c r="C8" s="138"/>
      <c r="D8" s="144">
        <v>7682653</v>
      </c>
      <c r="E8" s="133">
        <f>D8-B8</f>
        <v>-34654</v>
      </c>
      <c r="F8" s="144">
        <v>7599259</v>
      </c>
      <c r="G8" s="133">
        <f>F8-D8</f>
        <v>-83394</v>
      </c>
    </row>
    <row r="9" spans="1:7">
      <c r="A9" s="42"/>
      <c r="B9" s="136">
        <f>B8/B$3</f>
        <v>0.87429493869416319</v>
      </c>
      <c r="C9" s="44"/>
      <c r="D9" s="145">
        <f>D8/D$3</f>
        <v>0.89731635047772018</v>
      </c>
      <c r="E9" s="44"/>
      <c r="F9" s="145">
        <f>F8/F$3</f>
        <v>0.89761416875657918</v>
      </c>
      <c r="G9" s="44"/>
    </row>
  </sheetData>
  <mergeCells count="3">
    <mergeCell ref="D2:E2"/>
    <mergeCell ref="F2:G2"/>
    <mergeCell ref="B2:C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opLeftCell="A7" zoomScale="80" zoomScaleNormal="80" workbookViewId="0">
      <selection activeCell="G30" sqref="G30"/>
    </sheetView>
  </sheetViews>
  <sheetFormatPr defaultRowHeight="14.4"/>
  <cols>
    <col min="1" max="1" width="2.5546875" customWidth="1"/>
    <col min="2" max="2" width="21.109375" customWidth="1"/>
    <col min="3" max="3" width="12.33203125" customWidth="1"/>
    <col min="4" max="4" width="16.33203125" customWidth="1"/>
    <col min="5" max="5" width="22.44140625" customWidth="1"/>
    <col min="6" max="6" width="5.88671875" customWidth="1"/>
    <col min="7" max="7" width="20.6640625" customWidth="1"/>
    <col min="8" max="8" width="11.6640625" customWidth="1"/>
    <col min="9" max="9" width="16" customWidth="1"/>
    <col min="10" max="10" width="24.6640625" customWidth="1"/>
  </cols>
  <sheetData>
    <row r="1" spans="2:10" ht="15" thickBot="1"/>
    <row r="2" spans="2:10" ht="31.8" thickBot="1">
      <c r="B2" s="264" t="s">
        <v>118</v>
      </c>
      <c r="C2" s="265" t="s">
        <v>8</v>
      </c>
      <c r="D2" s="266" t="s">
        <v>14</v>
      </c>
      <c r="E2" s="267" t="s">
        <v>119</v>
      </c>
      <c r="G2" s="264" t="s">
        <v>118</v>
      </c>
      <c r="H2" s="265" t="s">
        <v>8</v>
      </c>
      <c r="I2" s="266" t="s">
        <v>14</v>
      </c>
      <c r="J2" s="267" t="s">
        <v>119</v>
      </c>
    </row>
    <row r="3" spans="2:10" ht="15.6">
      <c r="B3" s="268" t="s">
        <v>4</v>
      </c>
      <c r="C3" s="269">
        <v>901052</v>
      </c>
      <c r="D3" s="270">
        <v>4573.91</v>
      </c>
      <c r="E3" s="271">
        <v>4121330753.3200002</v>
      </c>
      <c r="G3" s="268" t="s">
        <v>4</v>
      </c>
      <c r="H3" s="269">
        <v>901052</v>
      </c>
      <c r="I3" s="270">
        <v>4573.91</v>
      </c>
      <c r="J3" s="297">
        <f>H3*I3</f>
        <v>4121330753.3199997</v>
      </c>
    </row>
    <row r="4" spans="2:10" ht="15.6">
      <c r="B4" s="272" t="s">
        <v>5</v>
      </c>
      <c r="C4" s="273">
        <v>2443092</v>
      </c>
      <c r="D4" s="274">
        <v>4851.1899999999996</v>
      </c>
      <c r="E4" s="275">
        <v>11851903479.48</v>
      </c>
      <c r="G4" s="272" t="s">
        <v>5</v>
      </c>
      <c r="H4" s="273">
        <v>2443092</v>
      </c>
      <c r="I4" s="274">
        <v>4851.1899999999996</v>
      </c>
      <c r="J4" s="298">
        <f t="shared" ref="J4:J6" si="0">H4*I4</f>
        <v>11851903479.48</v>
      </c>
    </row>
    <row r="5" spans="2:10" ht="15.6">
      <c r="B5" s="272" t="s">
        <v>6</v>
      </c>
      <c r="C5" s="273">
        <v>1628889</v>
      </c>
      <c r="D5" s="274">
        <v>6968.9</v>
      </c>
      <c r="E5" s="275">
        <v>11351564552.1</v>
      </c>
      <c r="G5" s="272" t="s">
        <v>6</v>
      </c>
      <c r="H5" s="273">
        <v>1628889</v>
      </c>
      <c r="I5" s="274">
        <v>6968.9</v>
      </c>
      <c r="J5" s="298">
        <f t="shared" si="0"/>
        <v>11351564552.099998</v>
      </c>
    </row>
    <row r="6" spans="2:10" ht="16.2" thickBot="1">
      <c r="B6" s="272" t="s">
        <v>7</v>
      </c>
      <c r="C6" s="276">
        <v>2626226</v>
      </c>
      <c r="D6" s="274">
        <v>7069.13</v>
      </c>
      <c r="E6" s="277">
        <v>18565133003.380001</v>
      </c>
      <c r="G6" s="272" t="s">
        <v>7</v>
      </c>
      <c r="H6" s="276">
        <v>2626226</v>
      </c>
      <c r="I6" s="274">
        <v>6143.58</v>
      </c>
      <c r="J6" s="299">
        <f t="shared" si="0"/>
        <v>16134429529.08</v>
      </c>
    </row>
    <row r="7" spans="2:10" ht="16.2" thickTop="1">
      <c r="B7" s="278" t="s">
        <v>12</v>
      </c>
      <c r="C7" s="279">
        <v>7599259</v>
      </c>
      <c r="D7" s="280"/>
      <c r="E7" s="281">
        <v>45889931788.279999</v>
      </c>
      <c r="G7" s="278" t="s">
        <v>12</v>
      </c>
      <c r="H7" s="279">
        <v>7599259</v>
      </c>
      <c r="I7" s="280"/>
      <c r="J7" s="300">
        <f>SUM(J3:J6)</f>
        <v>43459228313.979996</v>
      </c>
    </row>
    <row r="8" spans="2:10" ht="23.4" thickBot="1">
      <c r="B8" s="282"/>
      <c r="C8" s="283"/>
      <c r="D8" s="283"/>
      <c r="E8" s="284"/>
      <c r="G8" s="282"/>
      <c r="H8" s="283"/>
      <c r="I8" s="283"/>
      <c r="J8" s="284"/>
    </row>
    <row r="9" spans="2:10" ht="23.4" thickBot="1">
      <c r="B9" s="264" t="s">
        <v>120</v>
      </c>
      <c r="C9" s="285"/>
      <c r="D9" s="283"/>
      <c r="E9" s="286">
        <v>52222107848</v>
      </c>
      <c r="G9" s="264" t="s">
        <v>120</v>
      </c>
      <c r="H9" s="285"/>
      <c r="I9" s="283"/>
      <c r="J9" s="286">
        <v>52222107848</v>
      </c>
    </row>
    <row r="10" spans="2:10" ht="23.4" thickBot="1">
      <c r="B10" s="287"/>
      <c r="C10" s="288"/>
      <c r="D10" s="288"/>
      <c r="E10" s="289"/>
      <c r="G10" s="287"/>
      <c r="H10" s="288"/>
      <c r="I10" s="288"/>
      <c r="J10" s="289"/>
    </row>
    <row r="11" spans="2:10" ht="31.8" thickBot="1">
      <c r="B11" s="290" t="s">
        <v>121</v>
      </c>
      <c r="C11" s="265"/>
      <c r="D11" s="266" t="s">
        <v>14</v>
      </c>
      <c r="E11" s="267" t="s">
        <v>122</v>
      </c>
      <c r="G11" s="290" t="s">
        <v>121</v>
      </c>
      <c r="H11" s="265"/>
      <c r="I11" s="266" t="s">
        <v>14</v>
      </c>
      <c r="J11" s="267" t="s">
        <v>122</v>
      </c>
    </row>
    <row r="12" spans="2:10" ht="15.6">
      <c r="B12" s="268" t="s">
        <v>4</v>
      </c>
      <c r="C12" s="269">
        <v>524031</v>
      </c>
      <c r="D12" s="270">
        <v>4573.91</v>
      </c>
      <c r="E12" s="271">
        <v>2396870631.21</v>
      </c>
      <c r="G12" s="268" t="s">
        <v>4</v>
      </c>
      <c r="H12" s="269">
        <v>524031</v>
      </c>
      <c r="I12" s="270">
        <v>4573.91</v>
      </c>
      <c r="J12" s="297">
        <f>H12*I12</f>
        <v>2396870631.21</v>
      </c>
    </row>
    <row r="13" spans="2:10" ht="15.6">
      <c r="B13" s="272" t="s">
        <v>5</v>
      </c>
      <c r="C13" s="273">
        <v>167667</v>
      </c>
      <c r="D13" s="274">
        <v>4851.1899999999996</v>
      </c>
      <c r="E13" s="275">
        <v>813384473.73000002</v>
      </c>
      <c r="G13" s="272" t="s">
        <v>5</v>
      </c>
      <c r="H13" s="273">
        <v>167667</v>
      </c>
      <c r="I13" s="274">
        <v>4851.1899999999996</v>
      </c>
      <c r="J13" s="298">
        <f t="shared" ref="J13:J15" si="1">H13*I13</f>
        <v>813384473.7299999</v>
      </c>
    </row>
    <row r="14" spans="2:10" ht="15.6">
      <c r="B14" s="272" t="s">
        <v>6</v>
      </c>
      <c r="C14" s="273">
        <v>65406</v>
      </c>
      <c r="D14" s="274">
        <v>6968.9</v>
      </c>
      <c r="E14" s="275">
        <v>455807873.39999998</v>
      </c>
      <c r="G14" s="272" t="s">
        <v>6</v>
      </c>
      <c r="H14" s="273">
        <v>65406</v>
      </c>
      <c r="I14" s="274">
        <v>6968.9</v>
      </c>
      <c r="J14" s="298">
        <f t="shared" si="1"/>
        <v>455807873.39999998</v>
      </c>
    </row>
    <row r="15" spans="2:10" ht="16.2" thickBot="1">
      <c r="B15" s="272" t="s">
        <v>7</v>
      </c>
      <c r="C15" s="276">
        <v>109701</v>
      </c>
      <c r="D15" s="274">
        <v>7069.13</v>
      </c>
      <c r="E15" s="277">
        <v>775490630.13</v>
      </c>
      <c r="G15" s="272" t="s">
        <v>7</v>
      </c>
      <c r="H15" s="276">
        <v>109701</v>
      </c>
      <c r="I15" s="274">
        <v>6143.58</v>
      </c>
      <c r="J15" s="299">
        <f t="shared" si="1"/>
        <v>673956869.58000004</v>
      </c>
    </row>
    <row r="16" spans="2:10" ht="16.2" thickTop="1">
      <c r="B16" s="278" t="s">
        <v>12</v>
      </c>
      <c r="C16" s="279">
        <v>866805</v>
      </c>
      <c r="D16" s="280"/>
      <c r="E16" s="281">
        <v>4441553608.4700003</v>
      </c>
      <c r="G16" s="278" t="s">
        <v>12</v>
      </c>
      <c r="H16" s="279">
        <v>866805</v>
      </c>
      <c r="I16" s="280"/>
      <c r="J16" s="300">
        <f>SUM(J12:J15)</f>
        <v>4340019847.9200001</v>
      </c>
    </row>
    <row r="17" spans="2:10" ht="23.4" thickBot="1">
      <c r="B17" s="291"/>
      <c r="C17" s="283"/>
      <c r="D17" s="283"/>
      <c r="E17" s="284"/>
      <c r="G17" s="291"/>
      <c r="H17" s="283"/>
      <c r="I17" s="283"/>
      <c r="J17" s="284"/>
    </row>
    <row r="18" spans="2:10" ht="23.4" thickBot="1">
      <c r="B18" s="290" t="s">
        <v>120</v>
      </c>
      <c r="C18" s="285"/>
      <c r="D18" s="283"/>
      <c r="E18" s="292">
        <v>433402500</v>
      </c>
      <c r="G18" s="290" t="s">
        <v>120</v>
      </c>
      <c r="H18" s="285"/>
      <c r="I18" s="283"/>
      <c r="J18" s="292">
        <v>433402500</v>
      </c>
    </row>
    <row r="19" spans="2:10" ht="22.8">
      <c r="B19" s="293"/>
      <c r="C19" s="283"/>
      <c r="D19" s="283"/>
      <c r="E19" s="294"/>
      <c r="G19" s="293"/>
      <c r="H19" s="283"/>
      <c r="I19" s="283"/>
      <c r="J19" s="294"/>
    </row>
    <row r="20" spans="2:10" ht="22.8">
      <c r="B20" s="295"/>
      <c r="C20" s="283"/>
      <c r="D20" s="283"/>
      <c r="E20" s="284"/>
      <c r="G20" s="295"/>
      <c r="H20" s="283"/>
      <c r="I20" s="283"/>
      <c r="J20" s="284"/>
    </row>
    <row r="21" spans="2:10" ht="31.5" customHeight="1">
      <c r="B21" s="699" t="s">
        <v>123</v>
      </c>
      <c r="C21" s="700"/>
      <c r="D21" s="700"/>
      <c r="E21" s="296">
        <v>50331485396.75</v>
      </c>
      <c r="G21" s="699" t="s">
        <v>123</v>
      </c>
      <c r="H21" s="700"/>
      <c r="I21" s="700"/>
      <c r="J21" s="296">
        <f>J7+J16</f>
        <v>47799248161.899994</v>
      </c>
    </row>
  </sheetData>
  <mergeCells count="2">
    <mergeCell ref="B21:D21"/>
    <mergeCell ref="G21:I2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B1" zoomScaleNormal="100" workbookViewId="0">
      <selection activeCell="H12" sqref="H12"/>
    </sheetView>
  </sheetViews>
  <sheetFormatPr defaultRowHeight="14.4"/>
  <cols>
    <col min="1" max="1" width="15.33203125" customWidth="1"/>
    <col min="2" max="2" width="13.33203125" customWidth="1"/>
    <col min="3" max="3" width="14.6640625" customWidth="1"/>
    <col min="4" max="7" width="15.44140625" customWidth="1"/>
    <col min="8" max="9" width="19.6640625" customWidth="1"/>
    <col min="10" max="10" width="22.33203125" customWidth="1"/>
    <col min="11" max="11" width="1.6640625" style="394" customWidth="1"/>
    <col min="12" max="13" width="22.33203125" customWidth="1"/>
    <col min="14" max="14" width="20.5546875" customWidth="1"/>
    <col min="15" max="15" width="16.6640625" customWidth="1"/>
    <col min="16" max="16" width="22.88671875" style="150" customWidth="1"/>
  </cols>
  <sheetData>
    <row r="1" spans="1:16" ht="33.6" customHeight="1">
      <c r="B1" s="366" t="s">
        <v>196</v>
      </c>
      <c r="C1" s="366"/>
      <c r="D1" s="366"/>
      <c r="E1" s="366"/>
      <c r="F1" s="366"/>
      <c r="G1" s="366"/>
    </row>
    <row r="2" spans="1:16" ht="15" thickBot="1"/>
    <row r="3" spans="1:16" s="60" customFormat="1" ht="27.6" customHeight="1" thickBot="1">
      <c r="D3" s="727" t="s">
        <v>199</v>
      </c>
      <c r="E3" s="728"/>
      <c r="F3" s="728"/>
      <c r="G3" s="729"/>
      <c r="H3" s="725" t="s">
        <v>197</v>
      </c>
      <c r="I3" s="726"/>
      <c r="J3" s="481"/>
      <c r="K3" s="481"/>
      <c r="L3" s="722" t="s">
        <v>192</v>
      </c>
      <c r="M3" s="723"/>
      <c r="N3" s="723"/>
      <c r="O3" s="724"/>
    </row>
    <row r="4" spans="1:16" ht="33" customHeight="1" thickBot="1">
      <c r="A4" s="2"/>
      <c r="B4" s="368"/>
      <c r="C4" s="367" t="s">
        <v>145</v>
      </c>
      <c r="D4" s="456" t="s">
        <v>146</v>
      </c>
      <c r="E4" s="449" t="s">
        <v>198</v>
      </c>
      <c r="F4" s="448" t="s">
        <v>151</v>
      </c>
      <c r="G4" s="450" t="s">
        <v>193</v>
      </c>
      <c r="H4" s="720" t="s">
        <v>147</v>
      </c>
      <c r="I4" s="721"/>
      <c r="J4" s="367" t="s">
        <v>155</v>
      </c>
      <c r="K4" s="392"/>
      <c r="L4" s="439" t="s">
        <v>188</v>
      </c>
      <c r="M4" s="440" t="s">
        <v>189</v>
      </c>
      <c r="N4" s="440" t="s">
        <v>190</v>
      </c>
      <c r="O4" s="441" t="s">
        <v>191</v>
      </c>
      <c r="P4"/>
    </row>
    <row r="5" spans="1:16" ht="72.599999999999994" thickBot="1">
      <c r="A5" s="447" t="s">
        <v>19</v>
      </c>
      <c r="B5" s="447" t="s">
        <v>143</v>
      </c>
      <c r="C5" s="451" t="s">
        <v>144</v>
      </c>
      <c r="D5" s="457" t="s">
        <v>201</v>
      </c>
      <c r="E5" s="356" t="s">
        <v>161</v>
      </c>
      <c r="F5" s="356" t="s">
        <v>178</v>
      </c>
      <c r="G5" s="458" t="s">
        <v>194</v>
      </c>
      <c r="H5" s="403" t="s">
        <v>162</v>
      </c>
      <c r="I5" s="404" t="s">
        <v>163</v>
      </c>
      <c r="J5" s="400" t="s">
        <v>154</v>
      </c>
      <c r="K5" s="415"/>
      <c r="L5" s="433" t="s">
        <v>164</v>
      </c>
      <c r="M5" s="434" t="s">
        <v>176</v>
      </c>
      <c r="N5" s="434" t="s">
        <v>178</v>
      </c>
      <c r="O5" s="435" t="s">
        <v>177</v>
      </c>
      <c r="P5"/>
    </row>
    <row r="6" spans="1:16" ht="15" thickBot="1">
      <c r="A6" s="364" t="s">
        <v>4</v>
      </c>
      <c r="B6" s="359">
        <v>524031</v>
      </c>
      <c r="C6" s="452">
        <v>5278.41</v>
      </c>
      <c r="D6" s="459">
        <f>'CONTRIBUTI MIN. PARITARIE'!F13</f>
        <v>841</v>
      </c>
      <c r="E6" s="360">
        <f>1007-D6</f>
        <v>166</v>
      </c>
      <c r="F6" s="438">
        <v>150</v>
      </c>
      <c r="G6" s="460">
        <v>90</v>
      </c>
      <c r="H6" s="405">
        <f>180000000/B6</f>
        <v>343.49112934158478</v>
      </c>
      <c r="I6" s="406">
        <f>H6*B6</f>
        <v>180000000</v>
      </c>
      <c r="J6" s="390">
        <f>C6-D6-E6-F6-G6-H6</f>
        <v>3687.918870658415</v>
      </c>
      <c r="K6" s="416"/>
      <c r="L6" s="430"/>
      <c r="M6" s="436"/>
      <c r="N6" s="431">
        <v>235</v>
      </c>
      <c r="O6" s="432">
        <f>J6-L6-M6-N6</f>
        <v>3452.918870658415</v>
      </c>
      <c r="P6"/>
    </row>
    <row r="7" spans="1:16">
      <c r="A7" s="365" t="s">
        <v>5</v>
      </c>
      <c r="B7" s="361">
        <v>167667</v>
      </c>
      <c r="C7" s="453">
        <v>5704.47</v>
      </c>
      <c r="D7" s="461">
        <f>'CONTRIBUTI MIN. PARITARIE'!F14</f>
        <v>313.91000000000003</v>
      </c>
      <c r="E7" s="362">
        <f>360-D7</f>
        <v>46.089999999999975</v>
      </c>
      <c r="F7" s="462"/>
      <c r="G7" s="463"/>
      <c r="H7" s="407">
        <f>I7/(B7+B8+B9)</f>
        <v>350.08489558717991</v>
      </c>
      <c r="I7" s="717">
        <v>120000000</v>
      </c>
      <c r="J7" s="401">
        <f>C7-D7-E7-H7</f>
        <v>4994.3851044128205</v>
      </c>
      <c r="K7" s="416"/>
      <c r="L7" s="421"/>
      <c r="M7" s="422">
        <f>D28</f>
        <v>450</v>
      </c>
      <c r="N7" s="437"/>
      <c r="O7" s="432">
        <f t="shared" ref="O7:O9" si="0">J7-L7-M7-N7</f>
        <v>4544.3851044128205</v>
      </c>
      <c r="P7"/>
    </row>
    <row r="8" spans="1:16">
      <c r="A8" s="365" t="s">
        <v>6</v>
      </c>
      <c r="B8" s="361">
        <v>65406</v>
      </c>
      <c r="C8" s="453">
        <v>6348.15</v>
      </c>
      <c r="D8" s="461">
        <f>'CONTRIBUTI MIN. PARITARIE'!F15</f>
        <v>111.95</v>
      </c>
      <c r="E8" s="362">
        <f>295-D8</f>
        <v>183.05</v>
      </c>
      <c r="F8" s="462"/>
      <c r="G8" s="463"/>
      <c r="H8" s="407">
        <f>H7</f>
        <v>350.08489558717991</v>
      </c>
      <c r="I8" s="718"/>
      <c r="J8" s="401">
        <f>C8-D8-E8-H8</f>
        <v>5703.0651044128199</v>
      </c>
      <c r="K8" s="416"/>
      <c r="L8" s="423">
        <v>2000</v>
      </c>
      <c r="M8" s="422">
        <f>D33</f>
        <v>1100</v>
      </c>
      <c r="N8" s="437"/>
      <c r="O8" s="432">
        <f t="shared" si="0"/>
        <v>2603.0651044128199</v>
      </c>
      <c r="P8"/>
    </row>
    <row r="9" spans="1:16" ht="15" thickBot="1">
      <c r="A9" s="365" t="s">
        <v>7</v>
      </c>
      <c r="B9" s="353">
        <v>109701</v>
      </c>
      <c r="C9" s="453">
        <v>6693.99</v>
      </c>
      <c r="D9" s="461">
        <f>'CONTRIBUTI MIN. PARITARIE'!F16</f>
        <v>110.9</v>
      </c>
      <c r="E9" s="362">
        <f>379-D9</f>
        <v>268.10000000000002</v>
      </c>
      <c r="F9" s="462"/>
      <c r="G9" s="463"/>
      <c r="H9" s="407">
        <f>H8</f>
        <v>350.08489558717991</v>
      </c>
      <c r="I9" s="719"/>
      <c r="J9" s="401">
        <f>C9-D9-E9-H9</f>
        <v>5964.90510441282</v>
      </c>
      <c r="K9" s="416"/>
      <c r="L9" s="423">
        <v>2000</v>
      </c>
      <c r="M9" s="422">
        <f>D38</f>
        <v>1400</v>
      </c>
      <c r="N9" s="437"/>
      <c r="O9" s="432">
        <f t="shared" si="0"/>
        <v>2564.90510441282</v>
      </c>
      <c r="P9"/>
    </row>
    <row r="10" spans="1:16" ht="15" thickTop="1">
      <c r="A10" s="363" t="s">
        <v>12</v>
      </c>
      <c r="B10" s="354">
        <f>SUM(B6:B9)</f>
        <v>866805</v>
      </c>
      <c r="C10" s="454"/>
      <c r="D10" s="464"/>
      <c r="E10" s="357"/>
      <c r="F10" s="462"/>
      <c r="G10" s="463"/>
      <c r="H10" s="408"/>
      <c r="I10" s="409">
        <f>H7+H8+H9</f>
        <v>1050.2546867615397</v>
      </c>
      <c r="J10" s="391"/>
      <c r="K10" s="417"/>
      <c r="L10" s="424"/>
      <c r="M10" s="425"/>
      <c r="N10" s="425"/>
      <c r="O10" s="426"/>
      <c r="P10"/>
    </row>
    <row r="11" spans="1:16" ht="15" thickBot="1">
      <c r="A11" s="358"/>
      <c r="B11" s="355"/>
      <c r="C11" s="455"/>
      <c r="D11" s="465"/>
      <c r="E11" s="466"/>
      <c r="F11" s="467"/>
      <c r="G11" s="468"/>
      <c r="H11" s="410"/>
      <c r="I11" s="411"/>
      <c r="J11" s="402"/>
      <c r="K11" s="417"/>
      <c r="L11" s="427"/>
      <c r="M11" s="428"/>
      <c r="N11" s="428"/>
      <c r="O11" s="429"/>
      <c r="P11"/>
    </row>
    <row r="12" spans="1:16" ht="19.95" customHeight="1">
      <c r="A12" s="369" t="s">
        <v>156</v>
      </c>
      <c r="B12" s="369"/>
      <c r="C12" s="369"/>
      <c r="D12" s="369"/>
      <c r="E12" s="369"/>
      <c r="F12" s="369"/>
      <c r="G12" s="369"/>
      <c r="H12" s="369"/>
      <c r="I12" s="369"/>
      <c r="J12" s="385"/>
      <c r="K12" s="393"/>
      <c r="L12" s="385"/>
      <c r="M12" s="385"/>
      <c r="P12" s="63"/>
    </row>
    <row r="13" spans="1:16" ht="23.4" customHeight="1">
      <c r="A13" s="369" t="s">
        <v>200</v>
      </c>
      <c r="B13" s="369"/>
      <c r="C13" s="369"/>
      <c r="D13" s="369"/>
      <c r="E13" s="369"/>
      <c r="F13" s="369"/>
      <c r="G13" s="369"/>
      <c r="H13" s="369"/>
      <c r="I13" s="369"/>
    </row>
    <row r="14" spans="1:16" ht="10.95" customHeight="1"/>
    <row r="15" spans="1:16">
      <c r="A15" s="370" t="s">
        <v>157</v>
      </c>
      <c r="B15" s="39"/>
      <c r="C15" s="39"/>
      <c r="D15" s="39"/>
      <c r="E15" s="39"/>
      <c r="F15" s="39"/>
      <c r="G15" s="39"/>
      <c r="H15" s="39"/>
      <c r="I15" s="39"/>
      <c r="J15" s="39"/>
      <c r="K15" s="395"/>
      <c r="L15" s="39"/>
      <c r="M15" s="39"/>
      <c r="N15" s="39"/>
      <c r="O15" s="39"/>
      <c r="P15" s="371"/>
    </row>
    <row r="16" spans="1:16">
      <c r="A16" s="372" t="s">
        <v>148</v>
      </c>
      <c r="B16" s="373" t="s">
        <v>159</v>
      </c>
      <c r="C16" s="373"/>
      <c r="D16" s="373"/>
      <c r="E16" s="373"/>
      <c r="F16" s="373"/>
      <c r="G16" s="373"/>
      <c r="H16" s="373"/>
      <c r="I16" s="373"/>
      <c r="J16" s="373"/>
      <c r="K16" s="396"/>
      <c r="L16" s="373"/>
      <c r="M16" s="373"/>
      <c r="N16" s="373"/>
      <c r="O16" s="373"/>
      <c r="P16" s="374"/>
    </row>
    <row r="17" spans="1:16">
      <c r="A17" s="375" t="s">
        <v>149</v>
      </c>
      <c r="B17" s="376" t="s">
        <v>160</v>
      </c>
      <c r="C17" s="376"/>
      <c r="D17" s="376"/>
      <c r="E17" s="376"/>
      <c r="F17" s="376"/>
      <c r="G17" s="376"/>
      <c r="H17" s="376"/>
      <c r="I17" s="376"/>
      <c r="J17" s="376"/>
      <c r="K17" s="397"/>
      <c r="L17" s="376"/>
      <c r="M17" s="376"/>
      <c r="N17" s="376"/>
      <c r="O17" s="376"/>
      <c r="P17" s="377"/>
    </row>
    <row r="18" spans="1:16">
      <c r="A18" s="378" t="s">
        <v>150</v>
      </c>
      <c r="B18" s="32" t="s">
        <v>182</v>
      </c>
      <c r="C18" s="32"/>
      <c r="D18" s="376"/>
      <c r="E18" s="376"/>
      <c r="F18" s="376"/>
      <c r="G18" s="376"/>
      <c r="H18" s="376"/>
      <c r="I18" s="376"/>
      <c r="J18" s="376"/>
      <c r="K18" s="397"/>
      <c r="L18" s="376"/>
      <c r="M18" s="376"/>
      <c r="N18" s="376"/>
      <c r="O18" s="376"/>
      <c r="P18" s="377"/>
    </row>
    <row r="19" spans="1:16">
      <c r="A19" s="379" t="s">
        <v>152</v>
      </c>
      <c r="B19" s="376" t="s">
        <v>183</v>
      </c>
      <c r="C19" s="32"/>
      <c r="D19" s="376"/>
      <c r="E19" s="376"/>
      <c r="F19" s="376"/>
      <c r="G19" s="376"/>
      <c r="H19" s="376"/>
      <c r="I19" s="376"/>
      <c r="J19" s="376"/>
      <c r="K19" s="397"/>
      <c r="L19" s="376"/>
      <c r="M19" s="376"/>
      <c r="N19" s="376"/>
      <c r="O19" s="376"/>
      <c r="P19" s="377"/>
    </row>
    <row r="20" spans="1:16">
      <c r="A20" s="380" t="s">
        <v>153</v>
      </c>
      <c r="B20" s="376" t="s">
        <v>158</v>
      </c>
      <c r="C20" s="376"/>
      <c r="D20" s="376"/>
      <c r="E20" s="376"/>
      <c r="F20" s="376"/>
      <c r="G20" s="376"/>
      <c r="H20" s="376"/>
      <c r="I20" s="376"/>
      <c r="J20" s="376"/>
      <c r="K20" s="397"/>
      <c r="L20" s="376"/>
      <c r="M20" s="376"/>
      <c r="N20" s="376"/>
      <c r="O20" s="376"/>
      <c r="P20" s="377"/>
    </row>
    <row r="21" spans="1:16">
      <c r="A21" s="413" t="s">
        <v>184</v>
      </c>
      <c r="B21" s="203" t="s">
        <v>186</v>
      </c>
      <c r="C21" s="376"/>
      <c r="D21" s="381"/>
      <c r="E21" s="381"/>
      <c r="F21" s="381"/>
      <c r="G21" s="381"/>
      <c r="H21" s="381"/>
      <c r="I21" s="381"/>
      <c r="J21" s="376"/>
      <c r="K21" s="397"/>
      <c r="L21" s="376"/>
      <c r="M21" s="376"/>
      <c r="N21" s="376"/>
      <c r="O21" s="376"/>
      <c r="P21" s="377"/>
    </row>
    <row r="22" spans="1:16">
      <c r="A22" s="414" t="s">
        <v>185</v>
      </c>
      <c r="B22" s="420" t="s">
        <v>187</v>
      </c>
      <c r="C22" s="382"/>
      <c r="D22" s="382"/>
      <c r="E22" s="382"/>
      <c r="F22" s="382"/>
      <c r="G22" s="382"/>
      <c r="H22" s="382"/>
      <c r="I22" s="382"/>
      <c r="J22" s="383"/>
      <c r="K22" s="398"/>
      <c r="L22" s="383"/>
      <c r="M22" s="383"/>
      <c r="N22" s="383"/>
      <c r="O22" s="383"/>
      <c r="P22" s="384"/>
    </row>
    <row r="23" spans="1:16">
      <c r="A23" s="443"/>
      <c r="B23" s="444"/>
      <c r="C23" s="445"/>
      <c r="D23" s="445"/>
      <c r="E23" s="445"/>
      <c r="F23" s="445"/>
      <c r="G23" s="445"/>
      <c r="H23" s="445"/>
      <c r="I23" s="147"/>
      <c r="J23" s="32"/>
      <c r="K23" s="418"/>
      <c r="L23" s="32"/>
      <c r="M23" s="32"/>
      <c r="N23" s="32"/>
      <c r="O23" s="32"/>
      <c r="P23" s="419"/>
    </row>
    <row r="24" spans="1:16">
      <c r="B24" s="442" t="s">
        <v>195</v>
      </c>
      <c r="J24" s="369"/>
      <c r="K24" s="399"/>
      <c r="L24" s="369"/>
      <c r="M24" s="369"/>
    </row>
    <row r="25" spans="1:16" ht="39.6">
      <c r="A25" s="474" t="s">
        <v>165</v>
      </c>
      <c r="B25" s="716" t="s">
        <v>166</v>
      </c>
      <c r="C25" s="716"/>
      <c r="D25" s="475" t="s">
        <v>167</v>
      </c>
      <c r="J25" s="369"/>
      <c r="K25" s="399"/>
      <c r="L25" s="369"/>
      <c r="M25" s="369"/>
    </row>
    <row r="26" spans="1:16" ht="19.8">
      <c r="A26" s="473" t="s">
        <v>67</v>
      </c>
      <c r="B26" s="711" t="s">
        <v>168</v>
      </c>
      <c r="C26" s="711"/>
      <c r="D26" s="471">
        <v>700</v>
      </c>
    </row>
    <row r="27" spans="1:16" ht="19.8">
      <c r="A27" s="701" t="s">
        <v>26</v>
      </c>
      <c r="B27" s="711" t="s">
        <v>169</v>
      </c>
      <c r="C27" s="711"/>
      <c r="D27" s="471">
        <v>600</v>
      </c>
    </row>
    <row r="28" spans="1:16" ht="19.8">
      <c r="A28" s="701"/>
      <c r="B28" s="711" t="s">
        <v>170</v>
      </c>
      <c r="C28" s="711"/>
      <c r="D28" s="471">
        <v>450</v>
      </c>
    </row>
    <row r="29" spans="1:16" ht="19.8">
      <c r="A29" s="701"/>
      <c r="B29" s="711" t="s">
        <v>171</v>
      </c>
      <c r="C29" s="711"/>
      <c r="D29" s="471">
        <v>300</v>
      </c>
    </row>
    <row r="30" spans="1:16" ht="19.8">
      <c r="A30" s="702"/>
      <c r="B30" s="712"/>
      <c r="C30" s="713"/>
      <c r="D30" s="386"/>
    </row>
    <row r="31" spans="1:16" ht="19.8">
      <c r="A31" s="472" t="s">
        <v>67</v>
      </c>
      <c r="B31" s="711" t="s">
        <v>168</v>
      </c>
      <c r="C31" s="711"/>
      <c r="D31" s="471">
        <v>1600</v>
      </c>
    </row>
    <row r="32" spans="1:16" ht="22.5" customHeight="1">
      <c r="A32" s="706" t="s">
        <v>172</v>
      </c>
      <c r="B32" s="711" t="s">
        <v>169</v>
      </c>
      <c r="C32" s="711"/>
      <c r="D32" s="471">
        <v>1300</v>
      </c>
    </row>
    <row r="33" spans="1:16" ht="19.8">
      <c r="A33" s="706"/>
      <c r="B33" s="711" t="s">
        <v>170</v>
      </c>
      <c r="C33" s="711"/>
      <c r="D33" s="471">
        <v>1100</v>
      </c>
    </row>
    <row r="34" spans="1:16" ht="19.8">
      <c r="A34" s="706"/>
      <c r="B34" s="711" t="s">
        <v>171</v>
      </c>
      <c r="C34" s="711"/>
      <c r="D34" s="471">
        <v>1000</v>
      </c>
    </row>
    <row r="35" spans="1:16" ht="19.8">
      <c r="A35" s="707"/>
      <c r="B35" s="714"/>
      <c r="C35" s="715"/>
      <c r="D35" s="387"/>
    </row>
    <row r="36" spans="1:16" ht="19.5" customHeight="1">
      <c r="A36" s="470" t="s">
        <v>67</v>
      </c>
      <c r="B36" s="711" t="s">
        <v>168</v>
      </c>
      <c r="C36" s="711"/>
      <c r="D36" s="471">
        <v>2000</v>
      </c>
    </row>
    <row r="37" spans="1:16" ht="19.5" customHeight="1">
      <c r="A37" s="708" t="s">
        <v>173</v>
      </c>
      <c r="B37" s="711" t="s">
        <v>169</v>
      </c>
      <c r="C37" s="711"/>
      <c r="D37" s="471">
        <v>1600</v>
      </c>
    </row>
    <row r="38" spans="1:16" ht="19.5" customHeight="1">
      <c r="A38" s="708"/>
      <c r="B38" s="711" t="s">
        <v>170</v>
      </c>
      <c r="C38" s="711"/>
      <c r="D38" s="471">
        <v>1400</v>
      </c>
    </row>
    <row r="39" spans="1:16" ht="19.5" customHeight="1">
      <c r="A39" s="708"/>
      <c r="B39" s="711" t="s">
        <v>171</v>
      </c>
      <c r="C39" s="711"/>
      <c r="D39" s="471">
        <v>1300</v>
      </c>
    </row>
    <row r="40" spans="1:16" ht="19.8">
      <c r="A40" s="469"/>
      <c r="B40" s="709"/>
      <c r="C40" s="710"/>
      <c r="D40" s="388"/>
    </row>
    <row r="41" spans="1:16" ht="31.2">
      <c r="A41" s="476" t="s">
        <v>174</v>
      </c>
      <c r="B41" s="703"/>
      <c r="C41" s="704"/>
      <c r="D41" s="389" t="s">
        <v>175</v>
      </c>
    </row>
    <row r="44" spans="1:16">
      <c r="A44" s="412" t="s">
        <v>179</v>
      </c>
    </row>
    <row r="45" spans="1:16" s="60" customFormat="1" ht="21.75" customHeight="1">
      <c r="A45" s="477"/>
      <c r="B45" s="477" t="s">
        <v>180</v>
      </c>
      <c r="C45" s="477"/>
      <c r="D45" s="478">
        <v>500</v>
      </c>
      <c r="K45" s="479"/>
      <c r="P45" s="480"/>
    </row>
    <row r="46" spans="1:16" s="60" customFormat="1" ht="21.75" customHeight="1">
      <c r="A46" s="477"/>
      <c r="B46" s="705" t="s">
        <v>181</v>
      </c>
      <c r="C46" s="705"/>
      <c r="D46" s="478">
        <v>3000</v>
      </c>
      <c r="K46" s="479"/>
      <c r="P46" s="480"/>
    </row>
    <row r="48" spans="1:16">
      <c r="A48" s="446"/>
      <c r="B48" s="446"/>
      <c r="C48" s="446"/>
      <c r="D48" s="446"/>
      <c r="E48" s="446"/>
      <c r="F48" s="446"/>
      <c r="G48" s="446"/>
      <c r="H48" s="446"/>
    </row>
  </sheetData>
  <mergeCells count="26">
    <mergeCell ref="I7:I9"/>
    <mergeCell ref="H4:I4"/>
    <mergeCell ref="L3:O3"/>
    <mergeCell ref="H3:I3"/>
    <mergeCell ref="D3:G3"/>
    <mergeCell ref="B25:C25"/>
    <mergeCell ref="B26:C26"/>
    <mergeCell ref="B27:C27"/>
    <mergeCell ref="B28:C28"/>
    <mergeCell ref="B29:C29"/>
    <mergeCell ref="A27:A30"/>
    <mergeCell ref="B41:C41"/>
    <mergeCell ref="B46:C46"/>
    <mergeCell ref="A32:A35"/>
    <mergeCell ref="A37:A39"/>
    <mergeCell ref="B40:C40"/>
    <mergeCell ref="B36:C36"/>
    <mergeCell ref="B37:C37"/>
    <mergeCell ref="B38:C38"/>
    <mergeCell ref="B39:C39"/>
    <mergeCell ref="B30:C30"/>
    <mergeCell ref="B35:C35"/>
    <mergeCell ref="B31:C31"/>
    <mergeCell ref="B32:C32"/>
    <mergeCell ref="B33:C33"/>
    <mergeCell ref="B34:C34"/>
  </mergeCells>
  <printOptions horizontalCentered="1"/>
  <pageMargins left="0" right="0" top="0.74803149606299213" bottom="0.39370078740157483" header="0.31496062992125984" footer="0.31496062992125984"/>
  <pageSetup paperSize="9" scale="8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topLeftCell="A7" zoomScaleNormal="100" workbookViewId="0">
      <selection activeCell="G5" sqref="G5"/>
    </sheetView>
  </sheetViews>
  <sheetFormatPr defaultColWidth="9.109375" defaultRowHeight="14.4"/>
  <cols>
    <col min="1" max="2" width="9.109375" style="260"/>
    <col min="3" max="3" width="22.5546875" style="260" customWidth="1"/>
    <col min="4" max="4" width="18" style="260" bestFit="1" customWidth="1"/>
    <col min="5" max="6" width="18.6640625" style="260" customWidth="1"/>
    <col min="7" max="7" width="19.88671875" style="260" customWidth="1"/>
    <col min="8" max="8" width="18.44140625" style="260" customWidth="1"/>
    <col min="9" max="16384" width="9.109375" style="260"/>
  </cols>
  <sheetData>
    <row r="2" spans="1:8" ht="18">
      <c r="C2" s="83">
        <v>2020</v>
      </c>
      <c r="D2" s="83">
        <v>2021</v>
      </c>
      <c r="E2" s="83" t="s">
        <v>138</v>
      </c>
      <c r="F2" s="83">
        <v>2022</v>
      </c>
      <c r="G2" s="83">
        <v>2023</v>
      </c>
      <c r="H2"/>
    </row>
    <row r="3" spans="1:8">
      <c r="A3" t="s">
        <v>2</v>
      </c>
      <c r="C3" s="302">
        <v>59050611470.492569</v>
      </c>
      <c r="D3" s="302">
        <v>59050611470.492569</v>
      </c>
      <c r="E3" s="302">
        <v>59050611470.492569</v>
      </c>
      <c r="F3" s="302">
        <v>59050611470.492569</v>
      </c>
      <c r="G3" s="302">
        <v>59050611470.492569</v>
      </c>
      <c r="H3"/>
    </row>
    <row r="4" spans="1:8">
      <c r="A4" t="s">
        <v>137</v>
      </c>
      <c r="C4" s="302"/>
      <c r="D4" s="302"/>
      <c r="E4" s="303">
        <v>2502336575.3660002</v>
      </c>
      <c r="F4" s="302"/>
      <c r="G4" s="302"/>
      <c r="H4"/>
    </row>
    <row r="5" spans="1:8" ht="15" thickBot="1">
      <c r="A5" t="s">
        <v>136</v>
      </c>
      <c r="C5" s="304"/>
      <c r="D5" s="304">
        <v>3000000000</v>
      </c>
      <c r="E5" s="305"/>
      <c r="F5" s="304">
        <v>4000000000</v>
      </c>
      <c r="G5" s="304">
        <v>5000000000</v>
      </c>
      <c r="H5"/>
    </row>
    <row r="6" spans="1:8" ht="15.6" thickTop="1" thickBot="1">
      <c r="A6" t="s">
        <v>3</v>
      </c>
      <c r="C6" s="306">
        <v>535676821.94999999</v>
      </c>
      <c r="D6" s="306">
        <v>350279821.94999999</v>
      </c>
      <c r="E6" s="306">
        <v>535677318.17799997</v>
      </c>
      <c r="F6" s="306">
        <v>288480821.94999999</v>
      </c>
      <c r="G6" s="306">
        <v>226681821.95000002</v>
      </c>
      <c r="H6"/>
    </row>
    <row r="7" spans="1:8" ht="15" thickTop="1">
      <c r="C7"/>
      <c r="D7"/>
      <c r="E7"/>
      <c r="F7"/>
      <c r="G7"/>
      <c r="H7"/>
    </row>
    <row r="8" spans="1:8">
      <c r="C8"/>
      <c r="D8"/>
      <c r="E8" s="307">
        <v>3038013893.5440001</v>
      </c>
      <c r="F8"/>
      <c r="G8"/>
      <c r="H8"/>
    </row>
    <row r="39" spans="9:10">
      <c r="I39"/>
      <c r="J39"/>
    </row>
    <row r="40" spans="9:10">
      <c r="I40"/>
      <c r="J40"/>
    </row>
    <row r="41" spans="9:10">
      <c r="I41"/>
      <c r="J41"/>
    </row>
    <row r="42" spans="9:10">
      <c r="I42"/>
      <c r="J42"/>
    </row>
    <row r="43" spans="9:10">
      <c r="I43"/>
      <c r="J43"/>
    </row>
    <row r="44" spans="9:10">
      <c r="I44"/>
      <c r="J44"/>
    </row>
    <row r="45" spans="9:10">
      <c r="I45"/>
      <c r="J4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topLeftCell="A19" zoomScale="80" zoomScaleNormal="80" workbookViewId="0">
      <selection activeCell="J15" sqref="J15"/>
    </sheetView>
  </sheetViews>
  <sheetFormatPr defaultRowHeight="14.4"/>
  <cols>
    <col min="1" max="1" width="8.109375" customWidth="1"/>
    <col min="2" max="2" width="11.44140625" customWidth="1"/>
    <col min="3" max="3" width="16.33203125" customWidth="1"/>
    <col min="4" max="4" width="17.6640625" bestFit="1" customWidth="1"/>
    <col min="5" max="5" width="17.33203125" bestFit="1" customWidth="1"/>
    <col min="6" max="6" width="17.6640625" bestFit="1" customWidth="1"/>
    <col min="7" max="7" width="22" bestFit="1" customWidth="1"/>
    <col min="8" max="8" width="18" customWidth="1"/>
    <col min="9" max="9" width="18.6640625" style="202" customWidth="1"/>
    <col min="10" max="10" width="22.88671875" customWidth="1"/>
    <col min="11" max="11" width="21.33203125" customWidth="1"/>
    <col min="12" max="14" width="5.109375" customWidth="1"/>
    <col min="15" max="15" width="21.5546875" customWidth="1"/>
    <col min="16" max="16" width="22.88671875" customWidth="1"/>
    <col min="17" max="17" width="28.44140625" customWidth="1"/>
    <col min="18" max="18" width="7.5546875" customWidth="1"/>
    <col min="19" max="19" width="18.44140625" customWidth="1"/>
    <col min="20" max="33" width="5.109375" customWidth="1"/>
  </cols>
  <sheetData>
    <row r="1" spans="1:19" ht="13.5" customHeight="1">
      <c r="I1"/>
      <c r="R1" s="202"/>
    </row>
    <row r="2" spans="1:19" ht="18">
      <c r="D2" s="323">
        <v>2018</v>
      </c>
      <c r="E2" s="83">
        <v>2019</v>
      </c>
      <c r="F2" s="83">
        <v>2020</v>
      </c>
      <c r="G2" s="83" t="s">
        <v>138</v>
      </c>
      <c r="H2" s="83">
        <v>2021</v>
      </c>
      <c r="I2" s="83">
        <v>2022</v>
      </c>
      <c r="J2" s="318">
        <v>2023</v>
      </c>
      <c r="K2" s="318">
        <v>2030</v>
      </c>
      <c r="N2" s="51" t="s">
        <v>43</v>
      </c>
      <c r="R2" s="202"/>
    </row>
    <row r="3" spans="1:19" ht="15" thickBot="1">
      <c r="B3" s="11" t="s">
        <v>2</v>
      </c>
      <c r="C3" s="11"/>
      <c r="D3" s="319">
        <f>44403891192+(989609192-D6)</f>
        <v>44894086234</v>
      </c>
      <c r="E3" s="313">
        <f>49105000000-E6</f>
        <v>48569323178.050003</v>
      </c>
      <c r="F3" s="313">
        <v>48784279335</v>
      </c>
      <c r="G3" s="313">
        <v>47152204380</v>
      </c>
      <c r="H3" s="313">
        <v>47152204380</v>
      </c>
      <c r="I3" s="313">
        <v>44658177841</v>
      </c>
      <c r="J3" s="313">
        <v>44658177841</v>
      </c>
      <c r="K3" s="313">
        <v>44658177841</v>
      </c>
      <c r="N3" s="38" t="s">
        <v>17</v>
      </c>
      <c r="O3" s="39" t="s">
        <v>0</v>
      </c>
      <c r="P3" s="39" t="s">
        <v>1</v>
      </c>
      <c r="Q3" s="40" t="s">
        <v>44</v>
      </c>
      <c r="R3" s="203"/>
    </row>
    <row r="4" spans="1:19" s="60" customFormat="1" ht="30" customHeight="1" thickTop="1" thickBot="1">
      <c r="A4"/>
      <c r="B4" s="11" t="s">
        <v>137</v>
      </c>
      <c r="C4" s="111"/>
      <c r="D4" s="320"/>
      <c r="E4" s="314"/>
      <c r="F4" s="314"/>
      <c r="G4" s="315" t="e">
        <f>'SCUOLE IN LOMBARDIA'!#REF!</f>
        <v>#REF!</v>
      </c>
      <c r="H4" s="314"/>
      <c r="I4" s="314"/>
      <c r="J4" s="314"/>
      <c r="K4" s="314"/>
      <c r="L4"/>
      <c r="M4"/>
      <c r="N4" s="188" t="s">
        <v>2</v>
      </c>
      <c r="O4" s="189">
        <v>7599259</v>
      </c>
      <c r="P4" s="117" t="e">
        <f>#REF!</f>
        <v>#REF!</v>
      </c>
      <c r="Q4" s="191" t="e">
        <f>O4*P4</f>
        <v>#REF!</v>
      </c>
      <c r="R4" s="204"/>
      <c r="S4" s="199" t="str">
        <f>'ORIG con intervento'!J54</f>
        <v>costo sostenuto oggi dal MIUR</v>
      </c>
    </row>
    <row r="5" spans="1:19" s="60" customFormat="1" ht="30" customHeight="1" thickTop="1" thickBot="1">
      <c r="A5"/>
      <c r="B5" s="11" t="s">
        <v>136</v>
      </c>
      <c r="C5" s="111"/>
      <c r="D5" s="321"/>
      <c r="E5" s="316"/>
      <c r="F5" s="316"/>
      <c r="G5" s="316"/>
      <c r="H5" s="316" t="e">
        <f>Q15</f>
        <v>#REF!</v>
      </c>
      <c r="I5" s="316" t="e">
        <f>Q29</f>
        <v>#REF!</v>
      </c>
      <c r="J5" s="316" t="e">
        <f>Q44</f>
        <v>#REF!</v>
      </c>
      <c r="K5" s="316" t="e">
        <f>Q53</f>
        <v>#REF!</v>
      </c>
      <c r="L5"/>
      <c r="M5"/>
      <c r="N5" s="194" t="s">
        <v>3</v>
      </c>
      <c r="O5" s="195">
        <v>866805</v>
      </c>
      <c r="P5" s="116">
        <v>617.99</v>
      </c>
      <c r="Q5" s="197">
        <f>O5*P5</f>
        <v>535676821.94999999</v>
      </c>
      <c r="R5" s="308">
        <f>O5/$O$5</f>
        <v>1</v>
      </c>
      <c r="S5" s="310">
        <f>'ORIG con intervento'!J56</f>
        <v>535677318.17799997</v>
      </c>
    </row>
    <row r="6" spans="1:19" ht="15.6" thickTop="1" thickBot="1">
      <c r="B6" s="11" t="s">
        <v>3</v>
      </c>
      <c r="C6" s="11"/>
      <c r="D6" s="322">
        <v>499414150</v>
      </c>
      <c r="E6" s="317">
        <f>Q5</f>
        <v>535676821.94999999</v>
      </c>
      <c r="F6" s="317">
        <f>Q5</f>
        <v>535676821.94999999</v>
      </c>
      <c r="G6" s="317">
        <f>Q5</f>
        <v>535676821.94999999</v>
      </c>
      <c r="H6" s="317">
        <f>Q16</f>
        <v>350279821.94999999</v>
      </c>
      <c r="I6" s="317">
        <f>Q30</f>
        <v>288480821.94999999</v>
      </c>
      <c r="J6" s="317">
        <f>Q42</f>
        <v>226681821.95000002</v>
      </c>
      <c r="K6" s="317">
        <f>Q54</f>
        <v>0</v>
      </c>
      <c r="N6" s="41"/>
      <c r="O6" s="32"/>
      <c r="P6" s="32"/>
      <c r="Q6" s="94" t="e">
        <f>SUM(Q4:Q5)</f>
        <v>#REF!</v>
      </c>
      <c r="R6" s="205"/>
    </row>
    <row r="7" spans="1:19" ht="15" thickTop="1">
      <c r="I7"/>
      <c r="N7" s="42"/>
      <c r="O7" s="43"/>
      <c r="P7" s="43"/>
      <c r="Q7" s="44"/>
      <c r="R7" s="203"/>
    </row>
    <row r="8" spans="1:19">
      <c r="G8" s="307">
        <v>3038013893.5440001</v>
      </c>
      <c r="H8" s="324"/>
      <c r="I8"/>
      <c r="N8" s="207" t="s">
        <v>125</v>
      </c>
      <c r="O8" s="32"/>
      <c r="P8" s="32"/>
      <c r="Q8" s="32"/>
      <c r="R8" s="203"/>
    </row>
    <row r="9" spans="1:19">
      <c r="I9"/>
      <c r="N9" s="32"/>
      <c r="O9" s="32"/>
      <c r="P9" s="32"/>
      <c r="Q9" s="32"/>
      <c r="R9" s="203"/>
    </row>
    <row r="10" spans="1:19">
      <c r="I10"/>
      <c r="N10" s="32"/>
      <c r="O10" s="32"/>
      <c r="P10" s="32"/>
      <c r="Q10" s="32"/>
      <c r="R10" s="203"/>
    </row>
    <row r="11" spans="1:19">
      <c r="I11"/>
      <c r="R11" s="202"/>
    </row>
    <row r="12" spans="1:19">
      <c r="I12"/>
      <c r="N12" s="51" t="s">
        <v>46</v>
      </c>
      <c r="O12" s="37"/>
      <c r="P12" t="s">
        <v>82</v>
      </c>
      <c r="R12" s="202"/>
    </row>
    <row r="13" spans="1:19">
      <c r="I13"/>
      <c r="N13" s="38" t="s">
        <v>17</v>
      </c>
      <c r="O13" s="39" t="s">
        <v>0</v>
      </c>
      <c r="P13" s="39" t="s">
        <v>1</v>
      </c>
      <c r="Q13" s="40" t="s">
        <v>44</v>
      </c>
      <c r="R13" s="203"/>
      <c r="S13" s="120" t="s">
        <v>57</v>
      </c>
    </row>
    <row r="14" spans="1:19" s="60" customFormat="1" ht="25.5" customHeight="1" thickBot="1">
      <c r="A14"/>
      <c r="B14"/>
      <c r="C14"/>
      <c r="D14"/>
      <c r="E14"/>
      <c r="F14"/>
      <c r="G14"/>
      <c r="H14"/>
      <c r="I14"/>
      <c r="J14"/>
      <c r="K14"/>
      <c r="L14"/>
      <c r="M14"/>
      <c r="N14" s="188" t="s">
        <v>2</v>
      </c>
      <c r="O14" s="189">
        <f>O4</f>
        <v>7599259</v>
      </c>
      <c r="P14" s="190" t="e">
        <f>P4</f>
        <v>#REF!</v>
      </c>
      <c r="Q14" s="191" t="e">
        <f>O14*P14</f>
        <v>#REF!</v>
      </c>
      <c r="R14" s="204"/>
      <c r="S14" s="309" t="e">
        <f>$Q$4+Q15</f>
        <v>#REF!</v>
      </c>
    </row>
    <row r="15" spans="1:19" s="60" customFormat="1" ht="25.5" customHeight="1" thickTop="1" thickBot="1">
      <c r="A15"/>
      <c r="B15"/>
      <c r="C15"/>
      <c r="D15"/>
      <c r="E15"/>
      <c r="F15"/>
      <c r="G15"/>
      <c r="H15"/>
      <c r="I15"/>
      <c r="J15"/>
      <c r="K15"/>
      <c r="L15"/>
      <c r="M15"/>
      <c r="N15" s="192" t="s">
        <v>81</v>
      </c>
      <c r="O15" s="311">
        <v>300000</v>
      </c>
      <c r="P15" s="312" t="e">
        <f>P4</f>
        <v>#REF!</v>
      </c>
      <c r="Q15" s="193" t="e">
        <f>O15*P15</f>
        <v>#REF!</v>
      </c>
      <c r="R15" s="308">
        <f>O15/$O$5</f>
        <v>0.34609860349213489</v>
      </c>
    </row>
    <row r="16" spans="1:19" s="60" customFormat="1" ht="25.5" customHeight="1" thickTop="1" thickBot="1">
      <c r="A16"/>
      <c r="B16"/>
      <c r="C16"/>
      <c r="D16"/>
      <c r="E16"/>
      <c r="F16"/>
      <c r="G16"/>
      <c r="H16"/>
      <c r="I16"/>
      <c r="J16"/>
      <c r="K16"/>
      <c r="L16"/>
      <c r="M16"/>
      <c r="N16" s="194" t="s">
        <v>3</v>
      </c>
      <c r="O16" s="195">
        <f>O5-O15</f>
        <v>566805</v>
      </c>
      <c r="P16" s="196">
        <f>P5</f>
        <v>617.99</v>
      </c>
      <c r="Q16" s="197">
        <f>O16*P16</f>
        <v>350279821.94999999</v>
      </c>
      <c r="R16" s="204"/>
      <c r="S16" s="198">
        <f>$Q$5-Q16</f>
        <v>185397000</v>
      </c>
    </row>
    <row r="17" spans="1:19" ht="15.6" thickTop="1" thickBot="1">
      <c r="I17"/>
      <c r="N17" s="41"/>
      <c r="O17" s="32"/>
      <c r="P17" s="32"/>
      <c r="Q17" s="95" t="e">
        <f>SUM(Q14:Q16)</f>
        <v>#REF!</v>
      </c>
      <c r="R17" s="205"/>
    </row>
    <row r="18" spans="1:19" s="163" customFormat="1" ht="26.25" customHeight="1" thickTop="1">
      <c r="A18"/>
      <c r="B18"/>
      <c r="C18"/>
      <c r="D18"/>
      <c r="E18"/>
      <c r="F18"/>
      <c r="G18"/>
      <c r="H18"/>
      <c r="I18"/>
      <c r="J18"/>
      <c r="K18"/>
      <c r="L18"/>
      <c r="M18"/>
      <c r="N18" s="730" t="s">
        <v>129</v>
      </c>
      <c r="O18" s="731"/>
      <c r="P18" s="731"/>
      <c r="Q18" s="200" t="e">
        <f>Q17-Q6</f>
        <v>#REF!</v>
      </c>
      <c r="R18" s="206"/>
    </row>
    <row r="19" spans="1:19" ht="4.5" customHeight="1">
      <c r="I19"/>
      <c r="N19" s="732"/>
      <c r="O19" s="733"/>
      <c r="P19" s="733"/>
      <c r="Q19" s="44"/>
      <c r="R19" s="203"/>
    </row>
    <row r="20" spans="1:19">
      <c r="I20"/>
      <c r="N20" s="207" t="s">
        <v>125</v>
      </c>
      <c r="O20" s="32"/>
      <c r="P20" s="32"/>
      <c r="Q20" s="32"/>
      <c r="R20" s="202"/>
    </row>
    <row r="21" spans="1:19">
      <c r="I21"/>
      <c r="R21" s="202"/>
    </row>
    <row r="22" spans="1:19">
      <c r="I22"/>
      <c r="R22" s="202"/>
    </row>
    <row r="23" spans="1:19">
      <c r="I23"/>
      <c r="N23" s="119" t="s">
        <v>56</v>
      </c>
      <c r="R23" s="202"/>
    </row>
    <row r="24" spans="1:19">
      <c r="I24"/>
      <c r="N24" s="2"/>
      <c r="R24" s="202"/>
    </row>
    <row r="25" spans="1:19">
      <c r="I25"/>
      <c r="R25" s="202"/>
    </row>
    <row r="26" spans="1:19">
      <c r="I26"/>
      <c r="N26" s="51" t="s">
        <v>124</v>
      </c>
      <c r="O26" s="37"/>
      <c r="P26" t="s">
        <v>126</v>
      </c>
      <c r="R26" s="202"/>
    </row>
    <row r="27" spans="1:19">
      <c r="I27"/>
      <c r="N27" s="38" t="s">
        <v>17</v>
      </c>
      <c r="O27" s="39" t="s">
        <v>0</v>
      </c>
      <c r="P27" s="39" t="s">
        <v>1</v>
      </c>
      <c r="Q27" s="40" t="s">
        <v>44</v>
      </c>
      <c r="R27" s="203"/>
      <c r="S27" s="120" t="s">
        <v>57</v>
      </c>
    </row>
    <row r="28" spans="1:19" ht="25.5" customHeight="1" thickBot="1">
      <c r="I28"/>
      <c r="N28" s="188" t="s">
        <v>2</v>
      </c>
      <c r="O28" s="301">
        <f>O14</f>
        <v>7599259</v>
      </c>
      <c r="P28" s="301" t="e">
        <f>P14</f>
        <v>#REF!</v>
      </c>
      <c r="Q28" s="191" t="e">
        <f>O28*P28</f>
        <v>#REF!</v>
      </c>
      <c r="R28" s="204"/>
      <c r="S28" s="309" t="e">
        <f>$Q$4+Q29</f>
        <v>#REF!</v>
      </c>
    </row>
    <row r="29" spans="1:19" ht="25.5" customHeight="1" thickTop="1" thickBot="1">
      <c r="I29"/>
      <c r="N29" s="192" t="s">
        <v>127</v>
      </c>
      <c r="O29" s="311">
        <v>400000</v>
      </c>
      <c r="P29" s="201" t="e">
        <f>P4</f>
        <v>#REF!</v>
      </c>
      <c r="Q29" s="193" t="e">
        <f>O29*P29</f>
        <v>#REF!</v>
      </c>
      <c r="R29" s="308">
        <f>O29/$O$5</f>
        <v>0.46146480465617989</v>
      </c>
    </row>
    <row r="30" spans="1:19" ht="25.5" customHeight="1" thickTop="1" thickBot="1">
      <c r="I30"/>
      <c r="N30" s="194" t="s">
        <v>3</v>
      </c>
      <c r="O30" s="195">
        <f>O5-O29</f>
        <v>466805</v>
      </c>
      <c r="P30" s="196">
        <f>P16</f>
        <v>617.99</v>
      </c>
      <c r="Q30" s="197">
        <f>O30*P30</f>
        <v>288480821.94999999</v>
      </c>
      <c r="R30" s="204"/>
      <c r="S30" s="198">
        <f>$Q$5-Q30</f>
        <v>247196000</v>
      </c>
    </row>
    <row r="31" spans="1:19" ht="15.6" thickTop="1" thickBot="1">
      <c r="I31"/>
      <c r="N31" s="41"/>
      <c r="O31" s="32"/>
      <c r="P31" s="32"/>
      <c r="Q31" s="95" t="e">
        <f>SUM(Q28:Q30)</f>
        <v>#REF!</v>
      </c>
      <c r="R31" s="205"/>
    </row>
    <row r="32" spans="1:19" ht="16.2" thickTop="1">
      <c r="I32"/>
      <c r="N32" s="730" t="s">
        <v>130</v>
      </c>
      <c r="O32" s="731"/>
      <c r="P32" s="731"/>
      <c r="Q32" s="200" t="e">
        <f>Q31-Q6</f>
        <v>#REF!</v>
      </c>
      <c r="R32" s="206"/>
    </row>
    <row r="33" spans="9:19">
      <c r="I33"/>
      <c r="N33" s="732"/>
      <c r="O33" s="733"/>
      <c r="P33" s="733"/>
      <c r="Q33" s="44"/>
      <c r="R33" s="203"/>
    </row>
    <row r="34" spans="9:19">
      <c r="I34"/>
      <c r="N34" s="207" t="s">
        <v>125</v>
      </c>
      <c r="O34" s="32"/>
      <c r="P34" s="32"/>
      <c r="Q34" s="32"/>
      <c r="R34" s="202"/>
    </row>
    <row r="35" spans="9:19">
      <c r="I35"/>
      <c r="R35" s="202"/>
    </row>
    <row r="36" spans="9:19">
      <c r="I36"/>
      <c r="R36" s="202"/>
    </row>
    <row r="37" spans="9:19">
      <c r="I37"/>
      <c r="R37" s="202"/>
    </row>
    <row r="38" spans="9:19">
      <c r="I38"/>
      <c r="N38" s="51" t="s">
        <v>132</v>
      </c>
      <c r="O38" s="37"/>
      <c r="P38" t="s">
        <v>131</v>
      </c>
      <c r="R38" s="202"/>
    </row>
    <row r="39" spans="9:19">
      <c r="I39"/>
      <c r="N39" s="38" t="s">
        <v>17</v>
      </c>
      <c r="O39" s="39" t="s">
        <v>0</v>
      </c>
      <c r="P39" s="39" t="s">
        <v>1</v>
      </c>
      <c r="Q39" s="40" t="s">
        <v>44</v>
      </c>
      <c r="R39" s="203"/>
    </row>
    <row r="40" spans="9:19" ht="25.5" customHeight="1" thickBot="1">
      <c r="I40"/>
      <c r="N40" s="188" t="s">
        <v>2</v>
      </c>
      <c r="O40" s="189">
        <f>O28</f>
        <v>7599259</v>
      </c>
      <c r="P40" s="190" t="e">
        <f>P28</f>
        <v>#REF!</v>
      </c>
      <c r="Q40" s="191" t="e">
        <f>O40*P40</f>
        <v>#REF!</v>
      </c>
      <c r="R40" s="204"/>
      <c r="S40" s="309" t="e">
        <f>$Q$4+Q41</f>
        <v>#REF!</v>
      </c>
    </row>
    <row r="41" spans="9:19" ht="25.5" customHeight="1" thickTop="1" thickBot="1">
      <c r="I41"/>
      <c r="N41" s="192" t="s">
        <v>128</v>
      </c>
      <c r="O41" s="311">
        <v>500000</v>
      </c>
      <c r="P41" s="201" t="e">
        <f>P4</f>
        <v>#REF!</v>
      </c>
      <c r="Q41" s="193" t="e">
        <f>O41*P41</f>
        <v>#REF!</v>
      </c>
      <c r="R41" s="308">
        <f>O41/$O$5</f>
        <v>0.57683100582022484</v>
      </c>
    </row>
    <row r="42" spans="9:19" ht="25.5" customHeight="1" thickTop="1" thickBot="1">
      <c r="I42"/>
      <c r="N42" s="194" t="s">
        <v>3</v>
      </c>
      <c r="O42" s="195">
        <f>O5-O41</f>
        <v>366805</v>
      </c>
      <c r="P42" s="196">
        <f>P30</f>
        <v>617.99</v>
      </c>
      <c r="Q42" s="197">
        <f>O42*P42</f>
        <v>226681821.95000002</v>
      </c>
      <c r="R42" s="204"/>
      <c r="S42" s="198">
        <f>$Q$5-Q42</f>
        <v>308995000</v>
      </c>
    </row>
    <row r="43" spans="9:19" ht="15.6" thickTop="1" thickBot="1">
      <c r="I43"/>
      <c r="N43" s="41"/>
      <c r="O43" s="32"/>
      <c r="P43" s="32"/>
      <c r="Q43" s="95" t="e">
        <f>SUM(Q40:Q42)</f>
        <v>#REF!</v>
      </c>
      <c r="R43" s="205"/>
    </row>
    <row r="44" spans="9:19" ht="16.2" thickTop="1">
      <c r="I44"/>
      <c r="N44" s="730" t="s">
        <v>133</v>
      </c>
      <c r="O44" s="731"/>
      <c r="P44" s="731"/>
      <c r="Q44" s="200" t="e">
        <f>Q43-Q6</f>
        <v>#REF!</v>
      </c>
      <c r="R44" s="206"/>
    </row>
    <row r="45" spans="9:19">
      <c r="I45"/>
      <c r="N45" s="732"/>
      <c r="O45" s="733"/>
      <c r="P45" s="733"/>
      <c r="Q45" s="44"/>
      <c r="R45" s="203"/>
    </row>
    <row r="46" spans="9:19">
      <c r="I46"/>
      <c r="N46" s="207" t="s">
        <v>125</v>
      </c>
      <c r="O46" s="32"/>
      <c r="P46" s="32"/>
      <c r="Q46" s="32"/>
      <c r="R46" s="202"/>
    </row>
    <row r="47" spans="9:19">
      <c r="I47"/>
      <c r="R47" s="202"/>
    </row>
    <row r="48" spans="9:19">
      <c r="I48"/>
      <c r="R48" s="202"/>
    </row>
    <row r="49" spans="9:19">
      <c r="I49"/>
      <c r="R49" s="202"/>
    </row>
    <row r="50" spans="9:19">
      <c r="I50"/>
      <c r="N50" s="51" t="s">
        <v>134</v>
      </c>
      <c r="O50" s="37"/>
      <c r="P50" t="s">
        <v>135</v>
      </c>
      <c r="R50" s="202"/>
    </row>
    <row r="51" spans="9:19">
      <c r="I51"/>
      <c r="N51" s="38" t="s">
        <v>17</v>
      </c>
      <c r="O51" s="39" t="s">
        <v>0</v>
      </c>
      <c r="P51" s="39" t="s">
        <v>1</v>
      </c>
      <c r="Q51" s="40" t="s">
        <v>44</v>
      </c>
      <c r="R51" s="202"/>
    </row>
    <row r="52" spans="9:19" ht="25.5" customHeight="1" thickBot="1">
      <c r="I52"/>
      <c r="N52" s="188" t="s">
        <v>2</v>
      </c>
      <c r="O52" s="189">
        <f>O40</f>
        <v>7599259</v>
      </c>
      <c r="P52" s="190" t="e">
        <f>P40</f>
        <v>#REF!</v>
      </c>
      <c r="Q52" s="191" t="e">
        <f>O52*P52</f>
        <v>#REF!</v>
      </c>
      <c r="R52" s="202"/>
      <c r="S52" s="309" t="e">
        <f>$Q$4+Q53</f>
        <v>#REF!</v>
      </c>
    </row>
    <row r="53" spans="9:19" ht="25.5" customHeight="1" thickTop="1" thickBot="1">
      <c r="I53"/>
      <c r="N53" s="192" t="s">
        <v>128</v>
      </c>
      <c r="O53" s="311">
        <v>866805</v>
      </c>
      <c r="P53" s="201" t="e">
        <f>P4</f>
        <v>#REF!</v>
      </c>
      <c r="Q53" s="193" t="e">
        <f>O53*P53</f>
        <v>#REF!</v>
      </c>
      <c r="R53" s="308">
        <f>O53/$O$5</f>
        <v>1</v>
      </c>
    </row>
    <row r="54" spans="9:19" ht="25.5" customHeight="1" thickTop="1" thickBot="1">
      <c r="I54"/>
      <c r="N54" s="194" t="s">
        <v>3</v>
      </c>
      <c r="O54" s="195">
        <f>O5-O53</f>
        <v>0</v>
      </c>
      <c r="P54" s="196">
        <f>P42</f>
        <v>617.99</v>
      </c>
      <c r="Q54" s="197">
        <f>O54*P54</f>
        <v>0</v>
      </c>
      <c r="R54" s="202"/>
      <c r="S54" s="198">
        <f>$Q$5-Q54</f>
        <v>535676821.94999999</v>
      </c>
    </row>
    <row r="55" spans="9:19" ht="15.6" thickTop="1" thickBot="1">
      <c r="I55"/>
      <c r="N55" s="41"/>
      <c r="O55" s="32"/>
      <c r="P55" s="32"/>
      <c r="Q55" s="95" t="e">
        <f>SUM(Q52:Q54)</f>
        <v>#REF!</v>
      </c>
      <c r="R55" s="202"/>
    </row>
    <row r="56" spans="9:19" ht="16.2" thickTop="1">
      <c r="I56"/>
      <c r="N56" s="730" t="s">
        <v>139</v>
      </c>
      <c r="O56" s="731"/>
      <c r="P56" s="731"/>
      <c r="Q56" s="200" t="e">
        <f>Q55-Q6</f>
        <v>#REF!</v>
      </c>
      <c r="R56" s="202"/>
    </row>
    <row r="57" spans="9:19">
      <c r="I57"/>
      <c r="N57" s="732"/>
      <c r="O57" s="733"/>
      <c r="P57" s="733"/>
      <c r="Q57" s="44"/>
      <c r="R57" s="202"/>
    </row>
    <row r="58" spans="9:19">
      <c r="I58"/>
      <c r="N58" s="207" t="s">
        <v>125</v>
      </c>
      <c r="O58" s="32"/>
      <c r="P58" s="32"/>
      <c r="Q58" s="32"/>
      <c r="R58" s="202"/>
    </row>
    <row r="59" spans="9:19">
      <c r="I59"/>
      <c r="R59" s="202"/>
    </row>
    <row r="60" spans="9:19">
      <c r="I60"/>
      <c r="R60" s="202"/>
    </row>
    <row r="61" spans="9:19">
      <c r="I61"/>
      <c r="R61" s="202"/>
    </row>
    <row r="62" spans="9:19">
      <c r="I62"/>
      <c r="R62" s="202"/>
    </row>
    <row r="63" spans="9:19">
      <c r="I63"/>
      <c r="R63" s="202"/>
    </row>
    <row r="64" spans="9:19">
      <c r="I64"/>
      <c r="R64" s="202"/>
    </row>
    <row r="65" spans="9:18">
      <c r="I65"/>
      <c r="R65" s="202"/>
    </row>
    <row r="66" spans="9:18">
      <c r="I66"/>
      <c r="R66" s="202"/>
    </row>
    <row r="67" spans="9:18">
      <c r="I67"/>
      <c r="R67" s="202"/>
    </row>
    <row r="68" spans="9:18">
      <c r="I68"/>
      <c r="R68" s="202"/>
    </row>
    <row r="69" spans="9:18">
      <c r="I69"/>
      <c r="R69" s="202"/>
    </row>
    <row r="70" spans="9:18">
      <c r="I70"/>
      <c r="R70" s="202"/>
    </row>
    <row r="71" spans="9:18">
      <c r="I71"/>
      <c r="R71" s="202"/>
    </row>
    <row r="72" spans="9:18">
      <c r="I72"/>
      <c r="R72" s="202"/>
    </row>
    <row r="73" spans="9:18">
      <c r="I73"/>
      <c r="R73" s="202"/>
    </row>
    <row r="74" spans="9:18">
      <c r="I74"/>
      <c r="R74" s="202"/>
    </row>
    <row r="75" spans="9:18">
      <c r="I75"/>
      <c r="R75" s="202"/>
    </row>
    <row r="76" spans="9:18">
      <c r="I76"/>
      <c r="R76" s="202"/>
    </row>
    <row r="77" spans="9:18">
      <c r="I77"/>
      <c r="R77" s="202"/>
    </row>
  </sheetData>
  <mergeCells count="4">
    <mergeCell ref="N44:P45"/>
    <mergeCell ref="N56:P57"/>
    <mergeCell ref="N32:P33"/>
    <mergeCell ref="N18:P19"/>
  </mergeCells>
  <printOptions horizontalCentered="1"/>
  <pageMargins left="0" right="0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7" workbookViewId="0">
      <selection activeCell="B30" sqref="B30"/>
    </sheetView>
  </sheetViews>
  <sheetFormatPr defaultRowHeight="14.4"/>
  <cols>
    <col min="1" max="1" width="35.33203125" customWidth="1"/>
    <col min="2" max="2" width="27.109375" customWidth="1"/>
    <col min="3" max="3" width="16.33203125" customWidth="1"/>
    <col min="4" max="4" width="32" customWidth="1"/>
    <col min="5" max="5" width="18.33203125" customWidth="1"/>
  </cols>
  <sheetData>
    <row r="1" spans="1:5">
      <c r="A1" s="51" t="s">
        <v>43</v>
      </c>
    </row>
    <row r="2" spans="1:5" ht="15" thickBot="1">
      <c r="A2" s="38" t="s">
        <v>17</v>
      </c>
      <c r="B2" s="39" t="s">
        <v>0</v>
      </c>
      <c r="C2" s="39" t="s">
        <v>1</v>
      </c>
      <c r="D2" s="40" t="s">
        <v>44</v>
      </c>
    </row>
    <row r="3" spans="1:5" ht="19.2" thickTop="1" thickBot="1">
      <c r="A3" s="45" t="s">
        <v>2</v>
      </c>
      <c r="B3" s="46">
        <v>7599259</v>
      </c>
      <c r="C3" s="117">
        <v>10000</v>
      </c>
      <c r="D3" s="47">
        <f>B3*C3</f>
        <v>75992590000</v>
      </c>
    </row>
    <row r="4" spans="1:5" ht="19.2" thickTop="1" thickBot="1">
      <c r="A4" s="48" t="s">
        <v>3</v>
      </c>
      <c r="B4" s="49">
        <v>866805</v>
      </c>
      <c r="C4" s="116">
        <v>500</v>
      </c>
      <c r="D4" s="50">
        <f>B4*C4</f>
        <v>433402500</v>
      </c>
    </row>
    <row r="5" spans="1:5" ht="15" thickTop="1">
      <c r="A5" s="41"/>
      <c r="B5" s="32"/>
      <c r="C5" s="32"/>
      <c r="D5" s="94">
        <f>SUM(D3:D4)</f>
        <v>76425992500</v>
      </c>
    </row>
    <row r="6" spans="1:5">
      <c r="A6" s="42"/>
      <c r="B6" s="43"/>
      <c r="C6" s="43"/>
      <c r="D6" s="44"/>
    </row>
    <row r="8" spans="1:5">
      <c r="A8" s="51" t="s">
        <v>46</v>
      </c>
      <c r="B8" s="37"/>
    </row>
    <row r="9" spans="1:5">
      <c r="A9" s="38" t="s">
        <v>17</v>
      </c>
      <c r="B9" s="39" t="s">
        <v>0</v>
      </c>
      <c r="C9" s="39" t="s">
        <v>1</v>
      </c>
      <c r="D9" s="40" t="s">
        <v>44</v>
      </c>
    </row>
    <row r="10" spans="1:5">
      <c r="A10" s="45" t="s">
        <v>2</v>
      </c>
      <c r="B10" s="46">
        <f>B3+500000</f>
        <v>8099259</v>
      </c>
      <c r="C10" s="114">
        <f>C3</f>
        <v>10000</v>
      </c>
      <c r="D10" s="47">
        <f>B10*C10</f>
        <v>80992590000</v>
      </c>
      <c r="E10" s="79">
        <f>D3-D10</f>
        <v>-5000000000</v>
      </c>
    </row>
    <row r="11" spans="1:5" ht="15" thickBot="1">
      <c r="A11" s="48" t="s">
        <v>3</v>
      </c>
      <c r="B11" s="49">
        <f>B4-500000</f>
        <v>366805</v>
      </c>
      <c r="C11" s="115">
        <f>C4</f>
        <v>500</v>
      </c>
      <c r="D11" s="50">
        <f>B11*C11</f>
        <v>183402500</v>
      </c>
      <c r="E11" s="79">
        <f>D4-D11</f>
        <v>250000000</v>
      </c>
    </row>
    <row r="12" spans="1:5" ht="15.6" thickTop="1" thickBot="1">
      <c r="A12" s="41"/>
      <c r="B12" s="32"/>
      <c r="C12" s="32"/>
      <c r="D12" s="95">
        <f>SUM(D10:D11)</f>
        <v>81175992500</v>
      </c>
    </row>
    <row r="13" spans="1:5" ht="15" thickTop="1">
      <c r="A13" s="52" t="s">
        <v>45</v>
      </c>
      <c r="B13" s="53"/>
      <c r="C13" s="53"/>
      <c r="D13" s="54">
        <f>D12-D5</f>
        <v>4750000000</v>
      </c>
    </row>
    <row r="14" spans="1:5">
      <c r="A14" s="42"/>
      <c r="B14" s="43"/>
      <c r="C14" s="43"/>
      <c r="D14" s="44"/>
    </row>
    <row r="16" spans="1:5">
      <c r="A16" t="s">
        <v>53</v>
      </c>
    </row>
  </sheetData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68"/>
  <sheetViews>
    <sheetView tabSelected="1" zoomScaleNormal="100" workbookViewId="0">
      <selection activeCell="K47" sqref="K47"/>
    </sheetView>
  </sheetViews>
  <sheetFormatPr defaultRowHeight="15.6"/>
  <cols>
    <col min="1" max="1" width="1.5546875" customWidth="1"/>
    <col min="2" max="2" width="20.77734375" customWidth="1"/>
    <col min="3" max="3" width="13.77734375" style="2" customWidth="1"/>
    <col min="4" max="4" width="13" style="2" customWidth="1"/>
    <col min="5" max="5" width="13.5546875" style="2" customWidth="1"/>
    <col min="6" max="6" width="18" style="2" customWidth="1"/>
    <col min="7" max="7" width="15.88671875" customWidth="1"/>
    <col min="8" max="8" width="17.33203125" style="63" customWidth="1"/>
    <col min="9" max="9" width="10.6640625" customWidth="1"/>
    <col min="10" max="11" width="11.6640625" customWidth="1"/>
    <col min="12" max="12" width="17.33203125" style="499" customWidth="1"/>
    <col min="13" max="13" width="17.77734375" style="499" customWidth="1"/>
    <col min="14" max="14" width="15.6640625" style="66" customWidth="1"/>
    <col min="15" max="15" width="1.77734375" customWidth="1"/>
    <col min="16" max="16" width="15.6640625" style="66" customWidth="1"/>
    <col min="17" max="17" width="15.6640625" hidden="1" customWidth="1"/>
    <col min="18" max="18" width="17.88671875" customWidth="1"/>
  </cols>
  <sheetData>
    <row r="1" spans="2:18" ht="33" customHeight="1" thickBot="1">
      <c r="F1" s="601"/>
      <c r="G1" s="601"/>
      <c r="H1" s="498" t="s">
        <v>239</v>
      </c>
      <c r="I1" s="602"/>
      <c r="J1" s="602"/>
      <c r="K1" s="602"/>
      <c r="N1" s="495" t="s">
        <v>220</v>
      </c>
    </row>
    <row r="2" spans="2:18" ht="23.4" customHeight="1">
      <c r="B2" s="2"/>
      <c r="D2" s="494"/>
      <c r="E2" s="506" t="s">
        <v>148</v>
      </c>
      <c r="F2" s="260"/>
      <c r="H2" s="500" t="s">
        <v>264</v>
      </c>
      <c r="I2" s="498"/>
      <c r="J2" s="506" t="s">
        <v>278</v>
      </c>
      <c r="K2" s="506" t="s">
        <v>150</v>
      </c>
      <c r="L2" s="500" t="s">
        <v>264</v>
      </c>
      <c r="N2" s="506" t="s">
        <v>152</v>
      </c>
    </row>
    <row r="3" spans="2:18" s="512" customFormat="1" ht="15.6" customHeight="1">
      <c r="B3" s="638" t="s">
        <v>4</v>
      </c>
      <c r="C3" s="638" t="s">
        <v>210</v>
      </c>
      <c r="D3" s="638" t="s">
        <v>233</v>
      </c>
      <c r="E3" s="663" t="s">
        <v>245</v>
      </c>
      <c r="F3" s="663" t="s">
        <v>290</v>
      </c>
      <c r="G3" s="664" t="s">
        <v>208</v>
      </c>
      <c r="H3" s="665" t="s">
        <v>310</v>
      </c>
      <c r="I3" s="666" t="s">
        <v>266</v>
      </c>
      <c r="J3" s="643" t="s">
        <v>216</v>
      </c>
      <c r="K3" s="644" t="s">
        <v>217</v>
      </c>
      <c r="L3" s="645" t="s">
        <v>218</v>
      </c>
      <c r="M3" s="646" t="s">
        <v>247</v>
      </c>
      <c r="N3" s="638" t="s">
        <v>265</v>
      </c>
      <c r="P3" s="638" t="s">
        <v>214</v>
      </c>
      <c r="Q3" s="638" t="s">
        <v>215</v>
      </c>
      <c r="R3" s="638" t="s">
        <v>275</v>
      </c>
    </row>
    <row r="4" spans="2:18" s="512" customFormat="1" ht="14.4" customHeight="1">
      <c r="B4" s="653"/>
      <c r="C4" s="638"/>
      <c r="D4" s="638"/>
      <c r="E4" s="663"/>
      <c r="F4" s="663"/>
      <c r="G4" s="664"/>
      <c r="H4" s="665"/>
      <c r="I4" s="666"/>
      <c r="J4" s="643"/>
      <c r="K4" s="644"/>
      <c r="L4" s="645"/>
      <c r="M4" s="646"/>
      <c r="N4" s="638"/>
      <c r="P4" s="638"/>
      <c r="Q4" s="638"/>
      <c r="R4" s="638"/>
    </row>
    <row r="5" spans="2:18" s="512" customFormat="1" ht="39" customHeight="1" thickBot="1">
      <c r="B5" s="567" t="s">
        <v>202</v>
      </c>
      <c r="C5" s="653"/>
      <c r="D5" s="653"/>
      <c r="E5" s="663"/>
      <c r="F5" s="663"/>
      <c r="G5" s="664"/>
      <c r="H5" s="665"/>
      <c r="I5" s="666"/>
      <c r="J5" s="643"/>
      <c r="K5" s="644"/>
      <c r="L5" s="645"/>
      <c r="M5" s="646"/>
      <c r="N5" s="638"/>
      <c r="P5" s="638"/>
      <c r="Q5" s="638"/>
      <c r="R5" s="638"/>
    </row>
    <row r="6" spans="2:18" s="512" customFormat="1" ht="15" thickTop="1" thickBot="1">
      <c r="B6" s="490" t="s">
        <v>203</v>
      </c>
      <c r="C6" s="568">
        <v>250</v>
      </c>
      <c r="D6" s="569">
        <f>P6/3</f>
        <v>1759.3333333333333</v>
      </c>
      <c r="E6" s="502">
        <f>D6*3</f>
        <v>5278</v>
      </c>
      <c r="F6" s="484">
        <v>0</v>
      </c>
      <c r="G6" s="570">
        <v>0</v>
      </c>
      <c r="H6" s="571">
        <v>0</v>
      </c>
      <c r="I6" s="502">
        <v>0</v>
      </c>
      <c r="J6" s="484">
        <f>1007-152</f>
        <v>855</v>
      </c>
      <c r="K6" s="570">
        <v>152</v>
      </c>
      <c r="L6" s="571">
        <f>'[1]SCUOLE IN LOMBARDIA'!H6</f>
        <v>343.49112934158478</v>
      </c>
      <c r="M6" s="572">
        <v>160</v>
      </c>
      <c r="N6" s="484">
        <f>C6+E6-F6-G6-H6-I6-J6-K6-L6-M6</f>
        <v>4017.5088706584156</v>
      </c>
      <c r="P6" s="639">
        <v>5278</v>
      </c>
      <c r="Q6" s="639">
        <v>5278.41</v>
      </c>
      <c r="R6" s="639">
        <v>4500</v>
      </c>
    </row>
    <row r="7" spans="2:18" s="512" customFormat="1" ht="14.4" thickTop="1">
      <c r="B7" s="483" t="s">
        <v>204</v>
      </c>
      <c r="C7" s="573">
        <f>C6</f>
        <v>250</v>
      </c>
      <c r="D7" s="573">
        <f>D6</f>
        <v>1759.3333333333333</v>
      </c>
      <c r="E7" s="502">
        <f t="shared" ref="E7:E11" si="0">D7*3</f>
        <v>5278</v>
      </c>
      <c r="F7" s="484">
        <v>0</v>
      </c>
      <c r="G7" s="570">
        <v>0</v>
      </c>
      <c r="H7" s="571">
        <v>0</v>
      </c>
      <c r="I7" s="502">
        <v>0</v>
      </c>
      <c r="J7" s="484">
        <v>855</v>
      </c>
      <c r="K7" s="570">
        <v>152</v>
      </c>
      <c r="L7" s="571">
        <f>'[1]SCUOLE IN LOMBARDIA'!H6</f>
        <v>343.49112934158478</v>
      </c>
      <c r="M7" s="572">
        <v>160</v>
      </c>
      <c r="N7" s="484">
        <f t="shared" ref="N7:N11" si="1">C7+E7-F7-G7-H7-I7-J7-K7-L7-M7</f>
        <v>4017.5088706584156</v>
      </c>
      <c r="P7" s="640"/>
      <c r="Q7" s="640"/>
      <c r="R7" s="640"/>
    </row>
    <row r="8" spans="2:18" s="512" customFormat="1" ht="13.8">
      <c r="B8" s="483" t="s">
        <v>206</v>
      </c>
      <c r="C8" s="574">
        <f>C6</f>
        <v>250</v>
      </c>
      <c r="D8" s="574">
        <f>D6</f>
        <v>1759.3333333333333</v>
      </c>
      <c r="E8" s="502">
        <f t="shared" si="0"/>
        <v>5278</v>
      </c>
      <c r="F8" s="484">
        <v>0</v>
      </c>
      <c r="G8" s="570">
        <v>0</v>
      </c>
      <c r="H8" s="571">
        <v>0</v>
      </c>
      <c r="I8" s="502">
        <v>0</v>
      </c>
      <c r="J8" s="484">
        <v>855</v>
      </c>
      <c r="K8" s="570">
        <v>152</v>
      </c>
      <c r="L8" s="571">
        <f>L6</f>
        <v>343.49112934158478</v>
      </c>
      <c r="M8" s="572">
        <v>160</v>
      </c>
      <c r="N8" s="484">
        <f t="shared" si="1"/>
        <v>4017.5088706584156</v>
      </c>
      <c r="P8" s="640"/>
      <c r="Q8" s="640"/>
      <c r="R8" s="640"/>
    </row>
    <row r="9" spans="2:18" s="512" customFormat="1" ht="13.8">
      <c r="B9" s="483" t="s">
        <v>207</v>
      </c>
      <c r="C9" s="574">
        <f>C6</f>
        <v>250</v>
      </c>
      <c r="D9" s="574">
        <f>D6</f>
        <v>1759.3333333333333</v>
      </c>
      <c r="E9" s="502">
        <f t="shared" si="0"/>
        <v>5278</v>
      </c>
      <c r="F9" s="484">
        <f>F6</f>
        <v>0</v>
      </c>
      <c r="G9" s="570">
        <v>0</v>
      </c>
      <c r="H9" s="571">
        <v>0</v>
      </c>
      <c r="I9" s="502">
        <v>0</v>
      </c>
      <c r="J9" s="484">
        <v>855</v>
      </c>
      <c r="K9" s="570">
        <v>152</v>
      </c>
      <c r="L9" s="571">
        <f>L6</f>
        <v>343.49112934158478</v>
      </c>
      <c r="M9" s="572">
        <v>160</v>
      </c>
      <c r="N9" s="484">
        <f t="shared" si="1"/>
        <v>4017.5088706584156</v>
      </c>
      <c r="P9" s="640"/>
      <c r="Q9" s="640"/>
      <c r="R9" s="640"/>
    </row>
    <row r="10" spans="2:18" s="512" customFormat="1" ht="13.8">
      <c r="B10" s="483" t="s">
        <v>205</v>
      </c>
      <c r="C10" s="574">
        <f>C6</f>
        <v>250</v>
      </c>
      <c r="D10" s="574">
        <f>D6</f>
        <v>1759.3333333333333</v>
      </c>
      <c r="E10" s="502">
        <f t="shared" si="0"/>
        <v>5278</v>
      </c>
      <c r="F10" s="484">
        <f>F6</f>
        <v>0</v>
      </c>
      <c r="G10" s="570">
        <v>0</v>
      </c>
      <c r="H10" s="571">
        <f>H9</f>
        <v>0</v>
      </c>
      <c r="I10" s="502">
        <v>0</v>
      </c>
      <c r="J10" s="484">
        <v>855</v>
      </c>
      <c r="K10" s="570">
        <v>152</v>
      </c>
      <c r="L10" s="571">
        <f>L6</f>
        <v>343.49112934158478</v>
      </c>
      <c r="M10" s="572">
        <v>160</v>
      </c>
      <c r="N10" s="484">
        <f t="shared" si="1"/>
        <v>4017.5088706584156</v>
      </c>
      <c r="P10" s="640"/>
      <c r="Q10" s="640"/>
      <c r="R10" s="640"/>
    </row>
    <row r="11" spans="2:18" s="512" customFormat="1" ht="13.8">
      <c r="B11" s="508" t="s">
        <v>297</v>
      </c>
      <c r="C11" s="574">
        <f>C6</f>
        <v>250</v>
      </c>
      <c r="D11" s="574">
        <f>D6</f>
        <v>1759.3333333333333</v>
      </c>
      <c r="E11" s="502">
        <f t="shared" si="0"/>
        <v>5278</v>
      </c>
      <c r="F11" s="484">
        <f>F6</f>
        <v>0</v>
      </c>
      <c r="G11" s="570">
        <v>0</v>
      </c>
      <c r="H11" s="571">
        <f>H10</f>
        <v>0</v>
      </c>
      <c r="I11" s="502">
        <v>0</v>
      </c>
      <c r="J11" s="484">
        <v>855</v>
      </c>
      <c r="K11" s="570">
        <v>152</v>
      </c>
      <c r="L11" s="571">
        <f>L6</f>
        <v>343.49112934158478</v>
      </c>
      <c r="M11" s="572">
        <v>160</v>
      </c>
      <c r="N11" s="484">
        <f t="shared" si="1"/>
        <v>4017.5088706584156</v>
      </c>
      <c r="P11" s="641"/>
      <c r="Q11" s="641"/>
      <c r="R11" s="641"/>
    </row>
    <row r="12" spans="2:18" s="512" customFormat="1" ht="13.8">
      <c r="C12" s="513"/>
      <c r="D12" s="513"/>
      <c r="E12" s="513"/>
      <c r="F12" s="513"/>
      <c r="H12" s="559"/>
      <c r="L12" s="559"/>
      <c r="M12" s="560"/>
    </row>
    <row r="13" spans="2:18" s="512" customFormat="1" ht="15.6" customHeight="1">
      <c r="B13" s="637" t="s">
        <v>5</v>
      </c>
      <c r="C13" s="637" t="s">
        <v>210</v>
      </c>
      <c r="D13" s="637" t="s">
        <v>233</v>
      </c>
      <c r="E13" s="670" t="s">
        <v>246</v>
      </c>
      <c r="F13" s="671" t="s">
        <v>290</v>
      </c>
      <c r="G13" s="673" t="s">
        <v>208</v>
      </c>
      <c r="H13" s="672" t="s">
        <v>304</v>
      </c>
      <c r="I13" s="667" t="s">
        <v>209</v>
      </c>
      <c r="J13" s="631" t="s">
        <v>216</v>
      </c>
      <c r="K13" s="647" t="s">
        <v>217</v>
      </c>
      <c r="L13" s="650" t="s">
        <v>219</v>
      </c>
      <c r="M13" s="654" t="s">
        <v>247</v>
      </c>
      <c r="N13" s="637" t="s">
        <v>265</v>
      </c>
      <c r="P13" s="637" t="s">
        <v>214</v>
      </c>
      <c r="Q13" s="631" t="s">
        <v>215</v>
      </c>
      <c r="R13" s="631" t="s">
        <v>230</v>
      </c>
    </row>
    <row r="14" spans="2:18" s="512" customFormat="1" ht="14.4" customHeight="1">
      <c r="B14" s="631"/>
      <c r="C14" s="637"/>
      <c r="D14" s="637"/>
      <c r="E14" s="670"/>
      <c r="F14" s="671"/>
      <c r="G14" s="673"/>
      <c r="H14" s="672"/>
      <c r="I14" s="667"/>
      <c r="J14" s="632"/>
      <c r="K14" s="648"/>
      <c r="L14" s="651"/>
      <c r="M14" s="654"/>
      <c r="N14" s="637"/>
      <c r="P14" s="637"/>
      <c r="Q14" s="632"/>
      <c r="R14" s="632"/>
    </row>
    <row r="15" spans="2:18" s="512" customFormat="1" ht="37.200000000000003" customHeight="1" thickBot="1">
      <c r="B15" s="575" t="s">
        <v>202</v>
      </c>
      <c r="C15" s="637"/>
      <c r="D15" s="637"/>
      <c r="E15" s="670"/>
      <c r="F15" s="671"/>
      <c r="G15" s="673"/>
      <c r="H15" s="672"/>
      <c r="I15" s="667"/>
      <c r="J15" s="633"/>
      <c r="K15" s="649"/>
      <c r="L15" s="652"/>
      <c r="M15" s="654"/>
      <c r="N15" s="637"/>
      <c r="P15" s="637"/>
      <c r="Q15" s="633"/>
      <c r="R15" s="633"/>
    </row>
    <row r="16" spans="2:18" s="512" customFormat="1" ht="15" thickTop="1" thickBot="1">
      <c r="B16" s="485" t="s">
        <v>203</v>
      </c>
      <c r="C16" s="568">
        <v>250</v>
      </c>
      <c r="D16" s="569">
        <f>P16/3</f>
        <v>1901.49</v>
      </c>
      <c r="E16" s="482">
        <f>D16*3</f>
        <v>5704.47</v>
      </c>
      <c r="F16" s="482">
        <v>600</v>
      </c>
      <c r="G16" s="576">
        <v>0</v>
      </c>
      <c r="H16" s="578">
        <v>2</v>
      </c>
      <c r="I16" s="577">
        <v>0</v>
      </c>
      <c r="J16" s="482">
        <v>360</v>
      </c>
      <c r="K16" s="576">
        <v>0</v>
      </c>
      <c r="L16" s="578">
        <f>'[1]SCUOLE IN LOMBARDIA'!H7</f>
        <v>350.08489558717991</v>
      </c>
      <c r="M16" s="579">
        <v>160</v>
      </c>
      <c r="N16" s="482">
        <f>C16+E16-F16-G16-H16-I16-J16-K16-L16-M16</f>
        <v>4482.3851044128205</v>
      </c>
      <c r="P16" s="634">
        <v>5704.47</v>
      </c>
      <c r="Q16" s="634">
        <v>5704.47</v>
      </c>
      <c r="R16" s="634">
        <v>4851</v>
      </c>
    </row>
    <row r="17" spans="1:18" s="512" customFormat="1" ht="14.4" thickTop="1">
      <c r="B17" s="485" t="s">
        <v>204</v>
      </c>
      <c r="C17" s="574">
        <f>C16</f>
        <v>250</v>
      </c>
      <c r="D17" s="574">
        <f>D16</f>
        <v>1901.49</v>
      </c>
      <c r="E17" s="482">
        <f t="shared" ref="E17:E21" si="2">D17*3</f>
        <v>5704.47</v>
      </c>
      <c r="F17" s="482">
        <v>600</v>
      </c>
      <c r="G17" s="576">
        <v>0</v>
      </c>
      <c r="H17" s="578">
        <v>2</v>
      </c>
      <c r="I17" s="577">
        <v>0</v>
      </c>
      <c r="J17" s="482">
        <v>360</v>
      </c>
      <c r="K17" s="576">
        <v>0</v>
      </c>
      <c r="L17" s="578">
        <f>L16</f>
        <v>350.08489558717991</v>
      </c>
      <c r="M17" s="579">
        <f>M16</f>
        <v>160</v>
      </c>
      <c r="N17" s="482">
        <f t="shared" ref="N17:N21" si="3">C17+E17-F17-G17-H17-I17-J17-K17-L17-M17</f>
        <v>4482.3851044128205</v>
      </c>
      <c r="P17" s="635"/>
      <c r="Q17" s="635"/>
      <c r="R17" s="635"/>
    </row>
    <row r="18" spans="1:18" s="512" customFormat="1" ht="13.8">
      <c r="B18" s="485" t="s">
        <v>206</v>
      </c>
      <c r="C18" s="574">
        <f>C16</f>
        <v>250</v>
      </c>
      <c r="D18" s="574">
        <f>D16</f>
        <v>1901.49</v>
      </c>
      <c r="E18" s="482">
        <f t="shared" si="2"/>
        <v>5704.47</v>
      </c>
      <c r="F18" s="482">
        <v>600</v>
      </c>
      <c r="G18" s="576">
        <v>0</v>
      </c>
      <c r="H18" s="578">
        <v>2</v>
      </c>
      <c r="I18" s="577">
        <v>0</v>
      </c>
      <c r="J18" s="482">
        <v>360</v>
      </c>
      <c r="K18" s="576">
        <v>0</v>
      </c>
      <c r="L18" s="578">
        <f>L16</f>
        <v>350.08489558717991</v>
      </c>
      <c r="M18" s="579">
        <f>M16</f>
        <v>160</v>
      </c>
      <c r="N18" s="482">
        <f t="shared" si="3"/>
        <v>4482.3851044128205</v>
      </c>
      <c r="P18" s="635"/>
      <c r="Q18" s="635"/>
      <c r="R18" s="635"/>
    </row>
    <row r="19" spans="1:18" s="512" customFormat="1" ht="13.8">
      <c r="B19" s="485" t="s">
        <v>207</v>
      </c>
      <c r="C19" s="574">
        <f>C16</f>
        <v>250</v>
      </c>
      <c r="D19" s="574">
        <f>D16</f>
        <v>1901.49</v>
      </c>
      <c r="E19" s="482">
        <f t="shared" si="2"/>
        <v>5704.47</v>
      </c>
      <c r="F19" s="482">
        <v>600</v>
      </c>
      <c r="G19" s="576">
        <v>0</v>
      </c>
      <c r="H19" s="578">
        <v>2</v>
      </c>
      <c r="I19" s="577">
        <v>0</v>
      </c>
      <c r="J19" s="482">
        <v>360</v>
      </c>
      <c r="K19" s="576">
        <v>0</v>
      </c>
      <c r="L19" s="578">
        <f>L18</f>
        <v>350.08489558717991</v>
      </c>
      <c r="M19" s="579">
        <f>M16</f>
        <v>160</v>
      </c>
      <c r="N19" s="482">
        <f t="shared" si="3"/>
        <v>4482.3851044128205</v>
      </c>
      <c r="P19" s="635"/>
      <c r="Q19" s="635"/>
      <c r="R19" s="635"/>
    </row>
    <row r="20" spans="1:18" s="512" customFormat="1" ht="13.8">
      <c r="B20" s="485" t="s">
        <v>205</v>
      </c>
      <c r="C20" s="574">
        <f>C16</f>
        <v>250</v>
      </c>
      <c r="D20" s="574">
        <f>D16</f>
        <v>1901.49</v>
      </c>
      <c r="E20" s="482">
        <f t="shared" si="2"/>
        <v>5704.47</v>
      </c>
      <c r="F20" s="482">
        <v>600</v>
      </c>
      <c r="G20" s="576">
        <v>0</v>
      </c>
      <c r="H20" s="578">
        <v>2</v>
      </c>
      <c r="I20" s="577">
        <v>0</v>
      </c>
      <c r="J20" s="482">
        <v>360</v>
      </c>
      <c r="K20" s="576">
        <v>0</v>
      </c>
      <c r="L20" s="578">
        <f>L19</f>
        <v>350.08489558717991</v>
      </c>
      <c r="M20" s="579">
        <f>M19</f>
        <v>160</v>
      </c>
      <c r="N20" s="482">
        <f t="shared" si="3"/>
        <v>4482.3851044128205</v>
      </c>
      <c r="P20" s="635"/>
      <c r="Q20" s="635"/>
      <c r="R20" s="635"/>
    </row>
    <row r="21" spans="1:18" s="512" customFormat="1" ht="13.8">
      <c r="B21" s="509" t="s">
        <v>297</v>
      </c>
      <c r="C21" s="574">
        <f>C16</f>
        <v>250</v>
      </c>
      <c r="D21" s="574">
        <f>D16</f>
        <v>1901.49</v>
      </c>
      <c r="E21" s="482">
        <f t="shared" si="2"/>
        <v>5704.47</v>
      </c>
      <c r="F21" s="482">
        <v>600</v>
      </c>
      <c r="G21" s="576">
        <v>0</v>
      </c>
      <c r="H21" s="578">
        <v>2</v>
      </c>
      <c r="I21" s="577">
        <v>0</v>
      </c>
      <c r="J21" s="482">
        <v>360</v>
      </c>
      <c r="K21" s="576">
        <v>0</v>
      </c>
      <c r="L21" s="578">
        <f>L20</f>
        <v>350.08489558717991</v>
      </c>
      <c r="M21" s="579">
        <f>M20</f>
        <v>160</v>
      </c>
      <c r="N21" s="482">
        <f t="shared" si="3"/>
        <v>4482.3851044128205</v>
      </c>
      <c r="P21" s="636"/>
      <c r="Q21" s="636"/>
      <c r="R21" s="636"/>
    </row>
    <row r="22" spans="1:18" s="512" customFormat="1" ht="13.8">
      <c r="C22" s="513"/>
      <c r="D22" s="513"/>
      <c r="E22" s="513"/>
      <c r="F22" s="513"/>
      <c r="H22" s="559"/>
      <c r="L22" s="559"/>
      <c r="M22" s="560"/>
    </row>
    <row r="23" spans="1:18" s="512" customFormat="1" ht="15.6" customHeight="1">
      <c r="A23" s="517"/>
      <c r="B23" s="627" t="s">
        <v>211</v>
      </c>
      <c r="C23" s="627" t="s">
        <v>210</v>
      </c>
      <c r="D23" s="627" t="s">
        <v>233</v>
      </c>
      <c r="E23" s="627" t="s">
        <v>245</v>
      </c>
      <c r="F23" s="668" t="s">
        <v>291</v>
      </c>
      <c r="G23" s="669" t="s">
        <v>208</v>
      </c>
      <c r="H23" s="661" t="s">
        <v>305</v>
      </c>
      <c r="I23" s="658" t="s">
        <v>209</v>
      </c>
      <c r="J23" s="627" t="s">
        <v>216</v>
      </c>
      <c r="K23" s="660" t="s">
        <v>217</v>
      </c>
      <c r="L23" s="661" t="s">
        <v>219</v>
      </c>
      <c r="M23" s="662" t="s">
        <v>247</v>
      </c>
      <c r="N23" s="627" t="s">
        <v>265</v>
      </c>
      <c r="P23" s="627" t="s">
        <v>214</v>
      </c>
      <c r="Q23" s="627" t="s">
        <v>215</v>
      </c>
      <c r="R23" s="627" t="s">
        <v>275</v>
      </c>
    </row>
    <row r="24" spans="1:18" s="512" customFormat="1" ht="14.4" customHeight="1">
      <c r="A24" s="517"/>
      <c r="B24" s="642"/>
      <c r="C24" s="627"/>
      <c r="D24" s="627"/>
      <c r="E24" s="627"/>
      <c r="F24" s="668"/>
      <c r="G24" s="669"/>
      <c r="H24" s="661"/>
      <c r="I24" s="658"/>
      <c r="J24" s="627"/>
      <c r="K24" s="660"/>
      <c r="L24" s="661"/>
      <c r="M24" s="662"/>
      <c r="N24" s="627"/>
      <c r="P24" s="627"/>
      <c r="Q24" s="627"/>
      <c r="R24" s="627"/>
    </row>
    <row r="25" spans="1:18" s="512" customFormat="1" ht="28.2" customHeight="1" thickBot="1">
      <c r="A25" s="517"/>
      <c r="B25" s="580" t="s">
        <v>202</v>
      </c>
      <c r="C25" s="627"/>
      <c r="D25" s="627"/>
      <c r="E25" s="627"/>
      <c r="F25" s="668"/>
      <c r="G25" s="669"/>
      <c r="H25" s="661"/>
      <c r="I25" s="658"/>
      <c r="J25" s="627"/>
      <c r="K25" s="660"/>
      <c r="L25" s="661"/>
      <c r="M25" s="662"/>
      <c r="N25" s="627"/>
      <c r="P25" s="627"/>
      <c r="Q25" s="627"/>
      <c r="R25" s="627"/>
    </row>
    <row r="26" spans="1:18" s="512" customFormat="1" ht="15" thickTop="1" thickBot="1">
      <c r="B26" s="486" t="s">
        <v>203</v>
      </c>
      <c r="C26" s="568">
        <v>250</v>
      </c>
      <c r="D26" s="569">
        <f>P26/3</f>
        <v>2116.0499999999997</v>
      </c>
      <c r="E26" s="489">
        <f>D26*3</f>
        <v>6348.15</v>
      </c>
      <c r="F26" s="489">
        <v>600</v>
      </c>
      <c r="G26" s="581">
        <v>2000</v>
      </c>
      <c r="H26" s="582">
        <v>2</v>
      </c>
      <c r="I26" s="503">
        <v>0</v>
      </c>
      <c r="J26" s="489">
        <v>295</v>
      </c>
      <c r="K26" s="581">
        <v>0</v>
      </c>
      <c r="L26" s="582">
        <f>L21</f>
        <v>350.08489558717991</v>
      </c>
      <c r="M26" s="583">
        <v>160</v>
      </c>
      <c r="N26" s="489">
        <f>C26+E26-F26-G26-H26-I26-J26-K26-L26-M26</f>
        <v>3191.0651044128199</v>
      </c>
      <c r="P26" s="628">
        <v>6348.15</v>
      </c>
      <c r="Q26" s="628">
        <v>6348.15</v>
      </c>
      <c r="R26" s="628">
        <v>6000</v>
      </c>
    </row>
    <row r="27" spans="1:18" s="512" customFormat="1" ht="14.4" thickTop="1">
      <c r="B27" s="486" t="s">
        <v>204</v>
      </c>
      <c r="C27" s="574">
        <f t="shared" ref="C27:C31" si="4">C26</f>
        <v>250</v>
      </c>
      <c r="D27" s="574">
        <f>D26</f>
        <v>2116.0499999999997</v>
      </c>
      <c r="E27" s="489">
        <f t="shared" ref="E27:E31" si="5">D27*3</f>
        <v>6348.15</v>
      </c>
      <c r="F27" s="489">
        <v>600</v>
      </c>
      <c r="G27" s="581">
        <v>2000</v>
      </c>
      <c r="H27" s="582">
        <v>2</v>
      </c>
      <c r="I27" s="503">
        <v>0</v>
      </c>
      <c r="J27" s="489">
        <v>295</v>
      </c>
      <c r="K27" s="581">
        <v>0</v>
      </c>
      <c r="L27" s="582">
        <f>L26</f>
        <v>350.08489558717991</v>
      </c>
      <c r="M27" s="583">
        <v>160</v>
      </c>
      <c r="N27" s="489">
        <f t="shared" ref="N27:N31" si="6">C27+E27-F27-G27-H27-I27-J27-K27-L27-M27</f>
        <v>3191.0651044128199</v>
      </c>
      <c r="P27" s="629"/>
      <c r="Q27" s="629"/>
      <c r="R27" s="629"/>
    </row>
    <row r="28" spans="1:18" s="512" customFormat="1" ht="13.8">
      <c r="B28" s="486" t="s">
        <v>206</v>
      </c>
      <c r="C28" s="574">
        <f t="shared" si="4"/>
        <v>250</v>
      </c>
      <c r="D28" s="574">
        <f>D26</f>
        <v>2116.0499999999997</v>
      </c>
      <c r="E28" s="489">
        <f t="shared" si="5"/>
        <v>6348.15</v>
      </c>
      <c r="F28" s="489">
        <v>600</v>
      </c>
      <c r="G28" s="581">
        <v>2000</v>
      </c>
      <c r="H28" s="582">
        <v>2</v>
      </c>
      <c r="I28" s="503">
        <v>0</v>
      </c>
      <c r="J28" s="489">
        <v>295</v>
      </c>
      <c r="K28" s="581">
        <v>0</v>
      </c>
      <c r="L28" s="582">
        <f>L27</f>
        <v>350.08489558717991</v>
      </c>
      <c r="M28" s="583">
        <v>160</v>
      </c>
      <c r="N28" s="489">
        <f t="shared" si="6"/>
        <v>3191.0651044128199</v>
      </c>
      <c r="P28" s="629"/>
      <c r="Q28" s="629"/>
      <c r="R28" s="629"/>
    </row>
    <row r="29" spans="1:18" s="512" customFormat="1" ht="13.8">
      <c r="B29" s="486" t="s">
        <v>207</v>
      </c>
      <c r="C29" s="574">
        <f t="shared" si="4"/>
        <v>250</v>
      </c>
      <c r="D29" s="574">
        <f>D26</f>
        <v>2116.0499999999997</v>
      </c>
      <c r="E29" s="489">
        <f t="shared" si="5"/>
        <v>6348.15</v>
      </c>
      <c r="F29" s="489">
        <v>600</v>
      </c>
      <c r="G29" s="581">
        <v>0</v>
      </c>
      <c r="H29" s="582">
        <v>2</v>
      </c>
      <c r="I29" s="503">
        <v>0</v>
      </c>
      <c r="J29" s="489">
        <v>295</v>
      </c>
      <c r="K29" s="581">
        <v>0</v>
      </c>
      <c r="L29" s="582">
        <f>L28</f>
        <v>350.08489558717991</v>
      </c>
      <c r="M29" s="583">
        <v>160</v>
      </c>
      <c r="N29" s="489">
        <f t="shared" si="6"/>
        <v>5191.0651044128199</v>
      </c>
      <c r="P29" s="629"/>
      <c r="Q29" s="629"/>
      <c r="R29" s="629"/>
    </row>
    <row r="30" spans="1:18" s="512" customFormat="1" ht="13.8">
      <c r="B30" s="486" t="s">
        <v>205</v>
      </c>
      <c r="C30" s="574">
        <f t="shared" si="4"/>
        <v>250</v>
      </c>
      <c r="D30" s="574">
        <f>D26</f>
        <v>2116.0499999999997</v>
      </c>
      <c r="E30" s="489">
        <f t="shared" si="5"/>
        <v>6348.15</v>
      </c>
      <c r="F30" s="489">
        <v>600</v>
      </c>
      <c r="G30" s="581">
        <v>0</v>
      </c>
      <c r="H30" s="582">
        <v>2</v>
      </c>
      <c r="I30" s="503">
        <v>0</v>
      </c>
      <c r="J30" s="489">
        <v>295</v>
      </c>
      <c r="K30" s="581">
        <v>0</v>
      </c>
      <c r="L30" s="582">
        <f>L29</f>
        <v>350.08489558717991</v>
      </c>
      <c r="M30" s="583">
        <v>160</v>
      </c>
      <c r="N30" s="489">
        <f t="shared" si="6"/>
        <v>5191.0651044128199</v>
      </c>
      <c r="P30" s="629"/>
      <c r="Q30" s="629"/>
      <c r="R30" s="629"/>
    </row>
    <row r="31" spans="1:18" s="512" customFormat="1" ht="13.8">
      <c r="B31" s="510" t="s">
        <v>297</v>
      </c>
      <c r="C31" s="574">
        <f t="shared" si="4"/>
        <v>250</v>
      </c>
      <c r="D31" s="574">
        <f>D26</f>
        <v>2116.0499999999997</v>
      </c>
      <c r="E31" s="489">
        <f t="shared" si="5"/>
        <v>6348.15</v>
      </c>
      <c r="F31" s="489">
        <v>600</v>
      </c>
      <c r="G31" s="581">
        <v>0</v>
      </c>
      <c r="H31" s="582">
        <v>2</v>
      </c>
      <c r="I31" s="503">
        <v>0</v>
      </c>
      <c r="J31" s="489">
        <v>295</v>
      </c>
      <c r="K31" s="581">
        <v>0</v>
      </c>
      <c r="L31" s="582">
        <f>L30</f>
        <v>350.08489558717991</v>
      </c>
      <c r="M31" s="583">
        <v>160</v>
      </c>
      <c r="N31" s="489">
        <f t="shared" si="6"/>
        <v>5191.0651044128199</v>
      </c>
      <c r="P31" s="630"/>
      <c r="Q31" s="630"/>
      <c r="R31" s="630"/>
    </row>
    <row r="32" spans="1:18" s="512" customFormat="1" ht="13.8">
      <c r="C32" s="513"/>
      <c r="D32" s="513"/>
      <c r="E32" s="513"/>
      <c r="F32" s="513"/>
      <c r="H32" s="559"/>
      <c r="L32" s="559"/>
      <c r="M32" s="560"/>
    </row>
    <row r="33" spans="2:18" s="512" customFormat="1" ht="15.6" customHeight="1">
      <c r="B33" s="624" t="s">
        <v>213</v>
      </c>
      <c r="C33" s="624" t="s">
        <v>210</v>
      </c>
      <c r="D33" s="624" t="s">
        <v>233</v>
      </c>
      <c r="E33" s="624" t="s">
        <v>245</v>
      </c>
      <c r="F33" s="626" t="s">
        <v>292</v>
      </c>
      <c r="G33" s="625" t="s">
        <v>208</v>
      </c>
      <c r="H33" s="622" t="s">
        <v>306</v>
      </c>
      <c r="I33" s="623" t="s">
        <v>209</v>
      </c>
      <c r="J33" s="624" t="s">
        <v>216</v>
      </c>
      <c r="K33" s="655" t="s">
        <v>217</v>
      </c>
      <c r="L33" s="656" t="s">
        <v>219</v>
      </c>
      <c r="M33" s="657" t="s">
        <v>247</v>
      </c>
      <c r="N33" s="624" t="s">
        <v>265</v>
      </c>
      <c r="P33" s="624" t="s">
        <v>214</v>
      </c>
      <c r="Q33" s="624" t="s">
        <v>215</v>
      </c>
      <c r="R33" s="624" t="s">
        <v>275</v>
      </c>
    </row>
    <row r="34" spans="2:18" s="512" customFormat="1" ht="14.4" customHeight="1">
      <c r="B34" s="659"/>
      <c r="C34" s="624"/>
      <c r="D34" s="624"/>
      <c r="E34" s="624"/>
      <c r="F34" s="626"/>
      <c r="G34" s="625"/>
      <c r="H34" s="622"/>
      <c r="I34" s="623"/>
      <c r="J34" s="624"/>
      <c r="K34" s="655"/>
      <c r="L34" s="656"/>
      <c r="M34" s="657"/>
      <c r="N34" s="624"/>
      <c r="P34" s="624"/>
      <c r="Q34" s="624"/>
      <c r="R34" s="624"/>
    </row>
    <row r="35" spans="2:18" s="512" customFormat="1" ht="41.4" customHeight="1" thickBot="1">
      <c r="B35" s="584" t="s">
        <v>202</v>
      </c>
      <c r="C35" s="624"/>
      <c r="D35" s="624"/>
      <c r="E35" s="624"/>
      <c r="F35" s="626"/>
      <c r="G35" s="625"/>
      <c r="H35" s="622"/>
      <c r="I35" s="623"/>
      <c r="J35" s="624"/>
      <c r="K35" s="655"/>
      <c r="L35" s="656"/>
      <c r="M35" s="657"/>
      <c r="N35" s="624"/>
      <c r="P35" s="624"/>
      <c r="Q35" s="624"/>
      <c r="R35" s="624"/>
    </row>
    <row r="36" spans="2:18" s="512" customFormat="1" ht="15" thickTop="1" thickBot="1">
      <c r="B36" s="487" t="s">
        <v>203</v>
      </c>
      <c r="C36" s="568">
        <v>250</v>
      </c>
      <c r="D36" s="569">
        <f>P36/3</f>
        <v>2231.33</v>
      </c>
      <c r="E36" s="488">
        <f>D36*3</f>
        <v>6693.99</v>
      </c>
      <c r="F36" s="488">
        <v>600</v>
      </c>
      <c r="G36" s="585">
        <v>2000</v>
      </c>
      <c r="H36" s="586">
        <v>2</v>
      </c>
      <c r="I36" s="504">
        <v>0</v>
      </c>
      <c r="J36" s="488">
        <v>227</v>
      </c>
      <c r="K36" s="585">
        <v>152</v>
      </c>
      <c r="L36" s="586">
        <f>L31</f>
        <v>350.08489558717991</v>
      </c>
      <c r="M36" s="587">
        <v>160</v>
      </c>
      <c r="N36" s="488">
        <f>C36+E36-F36-G36-H36-I36-J36-K36-L36-M36</f>
        <v>3452.90510441282</v>
      </c>
      <c r="P36" s="616">
        <v>6693.99</v>
      </c>
      <c r="Q36" s="616">
        <v>6693.99</v>
      </c>
      <c r="R36" s="616">
        <v>6200</v>
      </c>
    </row>
    <row r="37" spans="2:18" s="512" customFormat="1" ht="14.4" thickTop="1">
      <c r="B37" s="487" t="s">
        <v>204</v>
      </c>
      <c r="C37" s="574">
        <f t="shared" ref="C37:C41" si="7">C36</f>
        <v>250</v>
      </c>
      <c r="D37" s="574">
        <f>D36</f>
        <v>2231.33</v>
      </c>
      <c r="E37" s="488">
        <f t="shared" ref="E37:E41" si="8">D37*3</f>
        <v>6693.99</v>
      </c>
      <c r="F37" s="488">
        <v>600</v>
      </c>
      <c r="G37" s="585">
        <v>2000</v>
      </c>
      <c r="H37" s="586">
        <v>2</v>
      </c>
      <c r="I37" s="504">
        <v>0</v>
      </c>
      <c r="J37" s="488">
        <v>227</v>
      </c>
      <c r="K37" s="585">
        <v>152</v>
      </c>
      <c r="L37" s="586">
        <f>L31</f>
        <v>350.08489558717991</v>
      </c>
      <c r="M37" s="587">
        <v>160</v>
      </c>
      <c r="N37" s="488">
        <f t="shared" ref="N37:N41" si="9">C37+E37-F37-G37-H37-I37-J37-K37-L37-M37</f>
        <v>3452.90510441282</v>
      </c>
      <c r="P37" s="617"/>
      <c r="Q37" s="617"/>
      <c r="R37" s="617"/>
    </row>
    <row r="38" spans="2:18" s="512" customFormat="1" ht="13.8">
      <c r="B38" s="487" t="s">
        <v>206</v>
      </c>
      <c r="C38" s="574">
        <f t="shared" si="7"/>
        <v>250</v>
      </c>
      <c r="D38" s="574">
        <f>D36</f>
        <v>2231.33</v>
      </c>
      <c r="E38" s="488">
        <f t="shared" si="8"/>
        <v>6693.99</v>
      </c>
      <c r="F38" s="488">
        <v>600</v>
      </c>
      <c r="G38" s="585">
        <v>2000</v>
      </c>
      <c r="H38" s="586">
        <v>2</v>
      </c>
      <c r="I38" s="504">
        <v>0</v>
      </c>
      <c r="J38" s="488">
        <v>227</v>
      </c>
      <c r="K38" s="585">
        <v>152</v>
      </c>
      <c r="L38" s="586">
        <f>L31</f>
        <v>350.08489558717991</v>
      </c>
      <c r="M38" s="587">
        <v>160</v>
      </c>
      <c r="N38" s="488">
        <f t="shared" si="9"/>
        <v>3452.90510441282</v>
      </c>
      <c r="P38" s="617"/>
      <c r="Q38" s="617"/>
      <c r="R38" s="617"/>
    </row>
    <row r="39" spans="2:18" s="512" customFormat="1" ht="13.8">
      <c r="B39" s="487" t="s">
        <v>207</v>
      </c>
      <c r="C39" s="574">
        <f t="shared" si="7"/>
        <v>250</v>
      </c>
      <c r="D39" s="574">
        <f>D36</f>
        <v>2231.33</v>
      </c>
      <c r="E39" s="488">
        <f t="shared" si="8"/>
        <v>6693.99</v>
      </c>
      <c r="F39" s="488">
        <v>600</v>
      </c>
      <c r="G39" s="585">
        <v>0</v>
      </c>
      <c r="H39" s="586">
        <v>2</v>
      </c>
      <c r="I39" s="504">
        <v>0</v>
      </c>
      <c r="J39" s="488">
        <v>227</v>
      </c>
      <c r="K39" s="585">
        <v>152</v>
      </c>
      <c r="L39" s="586">
        <f>L31</f>
        <v>350.08489558717991</v>
      </c>
      <c r="M39" s="587">
        <v>160</v>
      </c>
      <c r="N39" s="488">
        <f t="shared" si="9"/>
        <v>5452.90510441282</v>
      </c>
      <c r="P39" s="617"/>
      <c r="Q39" s="617"/>
      <c r="R39" s="617"/>
    </row>
    <row r="40" spans="2:18" s="512" customFormat="1" ht="13.8">
      <c r="B40" s="487" t="s">
        <v>205</v>
      </c>
      <c r="C40" s="574">
        <f t="shared" si="7"/>
        <v>250</v>
      </c>
      <c r="D40" s="574">
        <f>D36</f>
        <v>2231.33</v>
      </c>
      <c r="E40" s="488">
        <f t="shared" si="8"/>
        <v>6693.99</v>
      </c>
      <c r="F40" s="488">
        <v>600</v>
      </c>
      <c r="G40" s="585">
        <v>0</v>
      </c>
      <c r="H40" s="586">
        <v>2</v>
      </c>
      <c r="I40" s="504">
        <v>0</v>
      </c>
      <c r="J40" s="488">
        <v>227</v>
      </c>
      <c r="K40" s="585">
        <v>152</v>
      </c>
      <c r="L40" s="586">
        <f>L31</f>
        <v>350.08489558717991</v>
      </c>
      <c r="M40" s="587">
        <v>160</v>
      </c>
      <c r="N40" s="488">
        <f t="shared" si="9"/>
        <v>5452.90510441282</v>
      </c>
      <c r="P40" s="617"/>
      <c r="Q40" s="617"/>
      <c r="R40" s="617"/>
    </row>
    <row r="41" spans="2:18" s="512" customFormat="1" ht="14.4" thickBot="1">
      <c r="B41" s="511" t="s">
        <v>297</v>
      </c>
      <c r="C41" s="574">
        <f t="shared" si="7"/>
        <v>250</v>
      </c>
      <c r="D41" s="574">
        <f>D36</f>
        <v>2231.33</v>
      </c>
      <c r="E41" s="488">
        <f t="shared" si="8"/>
        <v>6693.99</v>
      </c>
      <c r="F41" s="488">
        <v>600</v>
      </c>
      <c r="G41" s="585">
        <v>0</v>
      </c>
      <c r="H41" s="588">
        <v>2</v>
      </c>
      <c r="I41" s="504">
        <v>0</v>
      </c>
      <c r="J41" s="488">
        <v>227</v>
      </c>
      <c r="K41" s="585">
        <v>152</v>
      </c>
      <c r="L41" s="588">
        <f>L40</f>
        <v>350.08489558717991</v>
      </c>
      <c r="M41" s="587">
        <v>160</v>
      </c>
      <c r="N41" s="488">
        <f t="shared" si="9"/>
        <v>5452.90510441282</v>
      </c>
      <c r="P41" s="618"/>
      <c r="Q41" s="618"/>
      <c r="R41" s="618"/>
    </row>
    <row r="42" spans="2:18" s="512" customFormat="1" ht="15" customHeight="1">
      <c r="B42" s="518" t="s">
        <v>281</v>
      </c>
      <c r="C42" s="589"/>
      <c r="D42" s="513"/>
      <c r="E42" s="513"/>
      <c r="F42" s="513"/>
      <c r="L42" s="560"/>
      <c r="M42" s="560"/>
      <c r="P42" s="519" t="s">
        <v>214</v>
      </c>
    </row>
    <row r="43" spans="2:18" s="512" customFormat="1" ht="15" customHeight="1">
      <c r="B43" s="518" t="s">
        <v>279</v>
      </c>
      <c r="C43" s="589"/>
      <c r="D43" s="589"/>
      <c r="E43" s="589"/>
      <c r="F43" s="589"/>
      <c r="G43" s="589"/>
      <c r="H43" s="589"/>
      <c r="I43" s="589"/>
      <c r="J43" s="589"/>
      <c r="K43" s="589"/>
      <c r="L43" s="589"/>
      <c r="M43" s="589"/>
      <c r="N43" s="589"/>
      <c r="P43" s="519" t="s">
        <v>276</v>
      </c>
    </row>
    <row r="44" spans="2:18" s="512" customFormat="1" ht="15" customHeight="1">
      <c r="B44" s="518" t="s">
        <v>322</v>
      </c>
      <c r="C44" s="589"/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P44" s="519"/>
    </row>
    <row r="45" spans="2:18" s="512" customFormat="1" ht="15" customHeight="1">
      <c r="B45" s="512" t="s">
        <v>324</v>
      </c>
      <c r="C45" s="513"/>
      <c r="D45" s="513"/>
      <c r="E45" s="513"/>
      <c r="F45" s="513"/>
      <c r="L45" s="560"/>
      <c r="M45" s="560"/>
      <c r="P45" s="590"/>
      <c r="Q45" s="590"/>
      <c r="R45" s="590"/>
    </row>
    <row r="46" spans="2:18" s="512" customFormat="1" ht="15" customHeight="1">
      <c r="C46" s="513"/>
      <c r="D46" s="513"/>
      <c r="E46" s="513"/>
      <c r="F46" s="513"/>
      <c r="L46" s="560"/>
      <c r="M46" s="560"/>
      <c r="P46" s="590"/>
      <c r="Q46" s="590"/>
      <c r="R46" s="590"/>
    </row>
    <row r="47" spans="2:18" s="512" customFormat="1" ht="20.399999999999999" customHeight="1">
      <c r="B47" s="591" t="s">
        <v>268</v>
      </c>
      <c r="C47" s="589"/>
      <c r="D47" s="589"/>
      <c r="E47" s="589"/>
      <c r="F47" s="513"/>
      <c r="L47" s="560"/>
      <c r="M47" s="560"/>
    </row>
    <row r="48" spans="2:18" s="512" customFormat="1" ht="9.6" customHeight="1" thickBot="1">
      <c r="C48" s="513"/>
      <c r="D48" s="513"/>
      <c r="E48" s="513"/>
      <c r="F48" s="513"/>
      <c r="L48" s="560"/>
      <c r="M48" s="560"/>
    </row>
    <row r="49" spans="2:13" s="512" customFormat="1" ht="42" thickBot="1">
      <c r="B49" s="521" t="s">
        <v>179</v>
      </c>
      <c r="C49" s="522" t="s">
        <v>221</v>
      </c>
      <c r="D49" s="561" t="s">
        <v>222</v>
      </c>
      <c r="E49" s="522" t="s">
        <v>267</v>
      </c>
      <c r="F49" s="522" t="s">
        <v>244</v>
      </c>
      <c r="G49" s="523" t="s">
        <v>296</v>
      </c>
      <c r="L49" s="560"/>
      <c r="M49" s="560"/>
    </row>
    <row r="50" spans="2:13" s="512" customFormat="1" ht="28.2" thickBot="1">
      <c r="B50" s="524" t="s">
        <v>223</v>
      </c>
      <c r="C50" s="525" t="s">
        <v>227</v>
      </c>
      <c r="D50" s="562" t="s">
        <v>224</v>
      </c>
      <c r="E50" s="527"/>
      <c r="F50" s="526"/>
      <c r="G50" s="528"/>
      <c r="L50" s="560"/>
      <c r="M50" s="560"/>
    </row>
    <row r="51" spans="2:13" s="512" customFormat="1" ht="28.2" thickBot="1">
      <c r="B51" s="529" t="s">
        <v>226</v>
      </c>
      <c r="C51" s="530">
        <f>1646.6*24</f>
        <v>39518.399999999994</v>
      </c>
      <c r="D51" s="531">
        <f>806*24</f>
        <v>19344</v>
      </c>
      <c r="E51" s="563"/>
      <c r="F51" s="563"/>
      <c r="G51" s="532">
        <f>C51-D51-E51</f>
        <v>20174.399999999994</v>
      </c>
      <c r="L51" s="560"/>
      <c r="M51" s="560"/>
    </row>
    <row r="52" spans="2:13" s="512" customFormat="1" ht="13.8">
      <c r="L52" s="560"/>
      <c r="M52" s="560"/>
    </row>
    <row r="53" spans="2:13" s="512" customFormat="1" ht="14.4">
      <c r="B53" s="591" t="s">
        <v>269</v>
      </c>
      <c r="C53" s="589"/>
      <c r="D53" s="589"/>
      <c r="E53" s="589"/>
      <c r="F53" s="513"/>
      <c r="L53" s="560"/>
      <c r="M53" s="560"/>
    </row>
    <row r="54" spans="2:13" s="512" customFormat="1" ht="9.6" customHeight="1" thickBot="1">
      <c r="C54" s="513"/>
      <c r="D54" s="513"/>
      <c r="E54" s="513"/>
      <c r="F54" s="513"/>
      <c r="L54" s="560"/>
      <c r="M54" s="560"/>
    </row>
    <row r="55" spans="2:13" s="512" customFormat="1" ht="42" thickBot="1">
      <c r="B55" s="521" t="s">
        <v>179</v>
      </c>
      <c r="C55" s="522" t="s">
        <v>221</v>
      </c>
      <c r="D55" s="522" t="s">
        <v>222</v>
      </c>
      <c r="E55" s="522" t="s">
        <v>267</v>
      </c>
      <c r="F55" s="522" t="s">
        <v>244</v>
      </c>
      <c r="G55" s="523" t="s">
        <v>296</v>
      </c>
      <c r="L55" s="560"/>
      <c r="M55" s="560"/>
    </row>
    <row r="56" spans="2:13" s="512" customFormat="1" ht="28.2" thickBot="1">
      <c r="B56" s="524" t="s">
        <v>223</v>
      </c>
      <c r="C56" s="526" t="s">
        <v>227</v>
      </c>
      <c r="D56" s="562" t="s">
        <v>224</v>
      </c>
      <c r="E56" s="527"/>
      <c r="F56" s="526"/>
      <c r="G56" s="528"/>
      <c r="L56" s="560"/>
      <c r="M56" s="560"/>
    </row>
    <row r="57" spans="2:13" s="512" customFormat="1" ht="28.2" thickBot="1">
      <c r="B57" s="529" t="s">
        <v>226</v>
      </c>
      <c r="C57" s="530">
        <f>C51</f>
        <v>39518.399999999994</v>
      </c>
      <c r="D57" s="531">
        <f>806*24</f>
        <v>19344</v>
      </c>
      <c r="E57" s="563"/>
      <c r="F57" s="563"/>
      <c r="G57" s="532">
        <f>C57-D57-F57</f>
        <v>20174.399999999994</v>
      </c>
      <c r="L57" s="560"/>
      <c r="M57" s="560"/>
    </row>
    <row r="58" spans="2:13" s="512" customFormat="1" ht="13.8">
      <c r="C58" s="513"/>
      <c r="D58" s="513"/>
      <c r="E58" s="513"/>
      <c r="F58" s="513"/>
      <c r="L58" s="560"/>
      <c r="M58" s="560"/>
    </row>
    <row r="59" spans="2:13" s="512" customFormat="1" ht="13.8">
      <c r="B59" s="534" t="s">
        <v>271</v>
      </c>
      <c r="C59" s="619" t="s">
        <v>259</v>
      </c>
      <c r="D59" s="619"/>
      <c r="E59" s="620" t="s">
        <v>260</v>
      </c>
      <c r="F59" s="621"/>
      <c r="G59" s="535" t="s">
        <v>289</v>
      </c>
      <c r="L59" s="560"/>
      <c r="M59" s="560"/>
    </row>
    <row r="60" spans="2:13" s="512" customFormat="1" ht="13.8">
      <c r="B60" s="592" t="s">
        <v>277</v>
      </c>
      <c r="C60" s="536" t="s">
        <v>257</v>
      </c>
      <c r="D60" s="536" t="s">
        <v>258</v>
      </c>
      <c r="E60" s="537" t="s">
        <v>257</v>
      </c>
      <c r="F60" s="537" t="s">
        <v>258</v>
      </c>
      <c r="G60" s="538"/>
      <c r="L60" s="560"/>
      <c r="M60" s="560"/>
    </row>
    <row r="61" spans="2:13" s="512" customFormat="1" ht="6" customHeight="1">
      <c r="B61" s="592"/>
      <c r="C61" s="536"/>
      <c r="D61" s="536"/>
      <c r="E61" s="537"/>
      <c r="F61" s="537"/>
      <c r="G61" s="538"/>
      <c r="L61" s="560"/>
      <c r="M61" s="560"/>
    </row>
    <row r="62" spans="2:13" s="512" customFormat="1" ht="13.8">
      <c r="B62" s="539" t="s">
        <v>254</v>
      </c>
      <c r="C62" s="540">
        <v>310</v>
      </c>
      <c r="D62" s="540">
        <v>19488</v>
      </c>
      <c r="E62" s="541">
        <v>222</v>
      </c>
      <c r="F62" s="541">
        <v>12204</v>
      </c>
      <c r="G62" s="542"/>
      <c r="L62" s="560"/>
      <c r="M62" s="560"/>
    </row>
    <row r="63" spans="2:13" s="512" customFormat="1" ht="13.8">
      <c r="B63" s="539" t="s">
        <v>26</v>
      </c>
      <c r="C63" s="540">
        <v>417</v>
      </c>
      <c r="D63" s="540">
        <v>52824</v>
      </c>
      <c r="E63" s="541">
        <v>46</v>
      </c>
      <c r="F63" s="541">
        <v>5257</v>
      </c>
      <c r="G63" s="542"/>
      <c r="L63" s="560"/>
      <c r="M63" s="560"/>
    </row>
    <row r="64" spans="2:13" s="512" customFormat="1" ht="13.8">
      <c r="B64" s="539" t="s">
        <v>255</v>
      </c>
      <c r="C64" s="540">
        <v>169</v>
      </c>
      <c r="D64" s="540">
        <v>36949</v>
      </c>
      <c r="E64" s="541">
        <v>23</v>
      </c>
      <c r="F64" s="541">
        <v>1702</v>
      </c>
      <c r="G64" s="542"/>
      <c r="L64" s="560"/>
      <c r="M64" s="560"/>
    </row>
    <row r="65" spans="2:18" s="512" customFormat="1" ht="14.4" thickBot="1">
      <c r="B65" s="539" t="s">
        <v>256</v>
      </c>
      <c r="C65" s="543">
        <v>127</v>
      </c>
      <c r="D65" s="543">
        <v>61959</v>
      </c>
      <c r="E65" s="544">
        <v>19</v>
      </c>
      <c r="F65" s="544">
        <v>2428</v>
      </c>
      <c r="G65" s="542"/>
      <c r="L65" s="560"/>
      <c r="M65" s="560"/>
    </row>
    <row r="66" spans="2:18" s="564" customFormat="1" ht="14.4" thickTop="1">
      <c r="B66" s="545" t="s">
        <v>261</v>
      </c>
      <c r="C66" s="546">
        <f>SUM(C62:C65)</f>
        <v>1023</v>
      </c>
      <c r="D66" s="546">
        <f>SUM(D62:D65)</f>
        <v>171220</v>
      </c>
      <c r="E66" s="547">
        <f>SUM(E62:E65)</f>
        <v>310</v>
      </c>
      <c r="F66" s="547">
        <f>SUM(F62:F65)</f>
        <v>21591</v>
      </c>
      <c r="G66" s="548">
        <f>F66/(D66+F66)</f>
        <v>0.11198012561523979</v>
      </c>
      <c r="L66" s="565"/>
      <c r="M66" s="565"/>
      <c r="P66" s="512"/>
      <c r="Q66" s="512"/>
      <c r="R66" s="512"/>
    </row>
    <row r="67" spans="2:18" s="512" customFormat="1" ht="13.8">
      <c r="B67" s="549"/>
      <c r="C67" s="550"/>
      <c r="D67" s="550"/>
      <c r="E67" s="550"/>
      <c r="F67" s="550"/>
      <c r="G67" s="566"/>
      <c r="L67" s="560"/>
      <c r="M67" s="560"/>
    </row>
    <row r="68" spans="2:18" s="512" customFormat="1" ht="13.8">
      <c r="C68" s="513"/>
      <c r="D68" s="513"/>
      <c r="E68" s="513"/>
      <c r="F68" s="513"/>
      <c r="L68" s="560"/>
      <c r="M68" s="560"/>
    </row>
  </sheetData>
  <mergeCells count="78">
    <mergeCell ref="C13:C15"/>
    <mergeCell ref="D13:D15"/>
    <mergeCell ref="E13:E15"/>
    <mergeCell ref="F13:F15"/>
    <mergeCell ref="H13:H15"/>
    <mergeCell ref="G13:G15"/>
    <mergeCell ref="D3:D5"/>
    <mergeCell ref="E3:E5"/>
    <mergeCell ref="F3:F5"/>
    <mergeCell ref="J33:J35"/>
    <mergeCell ref="G3:G5"/>
    <mergeCell ref="H3:H5"/>
    <mergeCell ref="I3:I5"/>
    <mergeCell ref="I13:I15"/>
    <mergeCell ref="F23:F25"/>
    <mergeCell ref="G23:G25"/>
    <mergeCell ref="H23:H25"/>
    <mergeCell ref="K33:K35"/>
    <mergeCell ref="L33:L35"/>
    <mergeCell ref="M33:M35"/>
    <mergeCell ref="I23:I25"/>
    <mergeCell ref="B33:B34"/>
    <mergeCell ref="E23:E25"/>
    <mergeCell ref="J23:J25"/>
    <mergeCell ref="K23:K25"/>
    <mergeCell ref="L23:L25"/>
    <mergeCell ref="M23:M25"/>
    <mergeCell ref="B13:B14"/>
    <mergeCell ref="N13:N15"/>
    <mergeCell ref="B23:B24"/>
    <mergeCell ref="N23:N25"/>
    <mergeCell ref="J3:J5"/>
    <mergeCell ref="K3:K5"/>
    <mergeCell ref="L3:L5"/>
    <mergeCell ref="M3:M5"/>
    <mergeCell ref="J13:J15"/>
    <mergeCell ref="K13:K15"/>
    <mergeCell ref="L13:L15"/>
    <mergeCell ref="B3:B4"/>
    <mergeCell ref="M13:M15"/>
    <mergeCell ref="C23:C25"/>
    <mergeCell ref="D23:D25"/>
    <mergeCell ref="C3:C5"/>
    <mergeCell ref="N3:N5"/>
    <mergeCell ref="Q3:Q5"/>
    <mergeCell ref="R3:R5"/>
    <mergeCell ref="P6:P11"/>
    <mergeCell ref="Q6:Q11"/>
    <mergeCell ref="R6:R11"/>
    <mergeCell ref="P3:P5"/>
    <mergeCell ref="Q13:Q15"/>
    <mergeCell ref="R13:R15"/>
    <mergeCell ref="P16:P21"/>
    <mergeCell ref="Q16:Q21"/>
    <mergeCell ref="R16:R21"/>
    <mergeCell ref="P13:P15"/>
    <mergeCell ref="Q23:Q25"/>
    <mergeCell ref="R23:R25"/>
    <mergeCell ref="P26:P31"/>
    <mergeCell ref="Q26:Q31"/>
    <mergeCell ref="R26:R31"/>
    <mergeCell ref="P23:P25"/>
    <mergeCell ref="Q36:Q41"/>
    <mergeCell ref="R36:R41"/>
    <mergeCell ref="C59:D59"/>
    <mergeCell ref="E59:F59"/>
    <mergeCell ref="H33:H35"/>
    <mergeCell ref="I33:I35"/>
    <mergeCell ref="P33:P35"/>
    <mergeCell ref="Q33:Q35"/>
    <mergeCell ref="R33:R35"/>
    <mergeCell ref="P36:P41"/>
    <mergeCell ref="N33:N35"/>
    <mergeCell ref="G33:G35"/>
    <mergeCell ref="C33:C35"/>
    <mergeCell ref="D33:D35"/>
    <mergeCell ref="E33:E35"/>
    <mergeCell ref="F33:F35"/>
  </mergeCells>
  <hyperlinks>
    <hyperlink ref="E3:E5" r:id="rId1" display="Retta annuale CMS *"/>
    <hyperlink ref="P42" r:id="rId2"/>
    <hyperlink ref="P43" r:id="rId3"/>
    <hyperlink ref="F3:F5" r:id="rId4" display="Dote REGIONE LIGURIA"/>
    <hyperlink ref="F13:F15" r:id="rId5" display="Dote REGIONE LIGURIA"/>
    <hyperlink ref="F23:F25" r:id="rId6" display="Dote REGIONE LIGURIA"/>
    <hyperlink ref="F33:F35" r:id="rId7" display="Dote REGIONE LIGURIA"/>
    <hyperlink ref="G3:G5" r:id="rId8" display="Borse di studio CEI"/>
    <hyperlink ref="G13:G15" r:id="rId9" display="Borse di studio CEI"/>
    <hyperlink ref="J3:J5" r:id="rId10" display="Contributi Ministeriali"/>
    <hyperlink ref="K3:K5" r:id="rId11" display="Detrazione del 19% IRPEF"/>
    <hyperlink ref="L33:L35" r:id="rId12" display="Contributo emergenza covid_120Mln"/>
    <hyperlink ref="L3:L5" r:id="rId13" display="Contributo emergenza covid_180Mln"/>
    <hyperlink ref="L13:L15" r:id="rId14" display="Contributo emergenza covid_120Mln"/>
    <hyperlink ref="L23:L25" r:id="rId15" display="Contributo emergenza covid_120Mln"/>
    <hyperlink ref="M3:M5" r:id="rId16" display="Contributo emergenza covid  Regione LIGURIA - 2,8 Mln"/>
  </hyperlinks>
  <pageMargins left="0.7" right="0.7" top="0.75" bottom="0.75" header="0.3" footer="0.3"/>
  <pageSetup paperSize="9"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69"/>
  <sheetViews>
    <sheetView topLeftCell="G1" zoomScale="98" zoomScaleNormal="98" workbookViewId="0">
      <selection activeCell="S14" sqref="S14"/>
    </sheetView>
  </sheetViews>
  <sheetFormatPr defaultRowHeight="13.2"/>
  <cols>
    <col min="1" max="1" width="1.5546875" style="520" customWidth="1"/>
    <col min="2" max="2" width="18.109375" style="520" customWidth="1"/>
    <col min="3" max="3" width="14.109375" style="552" customWidth="1"/>
    <col min="4" max="4" width="14.5546875" style="552" customWidth="1"/>
    <col min="5" max="5" width="13.6640625" style="552" customWidth="1"/>
    <col min="6" max="6" width="15.6640625" style="552" customWidth="1"/>
    <col min="7" max="7" width="17.33203125" style="520" customWidth="1"/>
    <col min="8" max="8" width="18.77734375" style="520" customWidth="1"/>
    <col min="9" max="9" width="10.6640625" style="520" customWidth="1"/>
    <col min="10" max="10" width="11.6640625" style="520" customWidth="1"/>
    <col min="11" max="11" width="12.5546875" style="520" customWidth="1"/>
    <col min="12" max="12" width="19.6640625" style="520" customWidth="1"/>
    <col min="13" max="13" width="15.88671875" style="520" customWidth="1"/>
    <col min="14" max="14" width="15.6640625" style="520" customWidth="1"/>
    <col min="15" max="15" width="1.77734375" style="553" customWidth="1"/>
    <col min="16" max="16" width="15.6640625" style="520" customWidth="1"/>
    <col min="17" max="17" width="15.6640625" style="520" hidden="1" customWidth="1"/>
    <col min="18" max="18" width="16.77734375" style="520" customWidth="1"/>
    <col min="19" max="16384" width="8.88671875" style="520"/>
  </cols>
  <sheetData>
    <row r="1" spans="2:18" s="556" customFormat="1" ht="33" customHeight="1" thickBot="1">
      <c r="C1" s="557"/>
      <c r="D1" s="557"/>
      <c r="E1" s="557"/>
      <c r="F1" s="557"/>
      <c r="G1" s="498"/>
      <c r="H1" s="601"/>
      <c r="I1" s="498" t="s">
        <v>239</v>
      </c>
      <c r="J1" s="602"/>
      <c r="K1" s="602"/>
      <c r="L1" s="602"/>
      <c r="N1" s="495" t="s">
        <v>220</v>
      </c>
      <c r="O1" s="558"/>
    </row>
    <row r="2" spans="2:18" s="515" customFormat="1" ht="24" customHeight="1">
      <c r="B2" s="676" t="s">
        <v>238</v>
      </c>
      <c r="C2" s="677"/>
      <c r="D2" s="677"/>
      <c r="E2" s="506" t="s">
        <v>148</v>
      </c>
      <c r="F2" s="555">
        <f>4641/12</f>
        <v>386.75</v>
      </c>
      <c r="H2" s="500" t="s">
        <v>264</v>
      </c>
      <c r="J2" s="506" t="s">
        <v>278</v>
      </c>
      <c r="K2" s="506" t="s">
        <v>150</v>
      </c>
      <c r="L2" s="500" t="s">
        <v>264</v>
      </c>
      <c r="N2" s="506" t="s">
        <v>152</v>
      </c>
      <c r="O2" s="514"/>
    </row>
    <row r="3" spans="2:18" s="512" customFormat="1" ht="15" customHeight="1">
      <c r="B3" s="638" t="s">
        <v>4</v>
      </c>
      <c r="C3" s="638" t="s">
        <v>210</v>
      </c>
      <c r="D3" s="638" t="s">
        <v>231</v>
      </c>
      <c r="E3" s="663" t="s">
        <v>245</v>
      </c>
      <c r="F3" s="663" t="s">
        <v>299</v>
      </c>
      <c r="G3" s="675" t="s">
        <v>237</v>
      </c>
      <c r="H3" s="665" t="s">
        <v>311</v>
      </c>
      <c r="I3" s="675" t="s">
        <v>209</v>
      </c>
      <c r="J3" s="663" t="s">
        <v>216</v>
      </c>
      <c r="K3" s="664" t="s">
        <v>217</v>
      </c>
      <c r="L3" s="645" t="s">
        <v>218</v>
      </c>
      <c r="M3" s="734" t="s">
        <v>229</v>
      </c>
      <c r="N3" s="638" t="s">
        <v>265</v>
      </c>
      <c r="O3" s="492"/>
      <c r="P3" s="638" t="s">
        <v>214</v>
      </c>
      <c r="Q3" s="638" t="s">
        <v>215</v>
      </c>
      <c r="R3" s="638" t="s">
        <v>275</v>
      </c>
    </row>
    <row r="4" spans="2:18" s="512" customFormat="1" ht="13.8" customHeight="1">
      <c r="B4" s="653"/>
      <c r="C4" s="638"/>
      <c r="D4" s="638"/>
      <c r="E4" s="663"/>
      <c r="F4" s="663"/>
      <c r="G4" s="675"/>
      <c r="H4" s="665"/>
      <c r="I4" s="675"/>
      <c r="J4" s="663"/>
      <c r="K4" s="664"/>
      <c r="L4" s="645"/>
      <c r="M4" s="734"/>
      <c r="N4" s="638"/>
      <c r="O4" s="492"/>
      <c r="P4" s="638"/>
      <c r="Q4" s="638"/>
      <c r="R4" s="638"/>
    </row>
    <row r="5" spans="2:18" s="512" customFormat="1" ht="42.6" customHeight="1" thickBot="1">
      <c r="B5" s="567" t="s">
        <v>202</v>
      </c>
      <c r="C5" s="653"/>
      <c r="D5" s="653"/>
      <c r="E5" s="663"/>
      <c r="F5" s="663"/>
      <c r="G5" s="675"/>
      <c r="H5" s="665"/>
      <c r="I5" s="675"/>
      <c r="J5" s="663"/>
      <c r="K5" s="664"/>
      <c r="L5" s="645"/>
      <c r="M5" s="734"/>
      <c r="N5" s="638"/>
      <c r="O5" s="492"/>
      <c r="P5" s="638"/>
      <c r="Q5" s="638"/>
      <c r="R5" s="638"/>
    </row>
    <row r="6" spans="2:18" s="512" customFormat="1" ht="19.5" customHeight="1" thickTop="1" thickBot="1">
      <c r="B6" s="490" t="s">
        <v>203</v>
      </c>
      <c r="C6" s="568">
        <v>250</v>
      </c>
      <c r="D6" s="569">
        <f>P6/3</f>
        <v>1759.3333333333333</v>
      </c>
      <c r="E6" s="502">
        <f>D6*3</f>
        <v>5278</v>
      </c>
      <c r="F6" s="484">
        <v>90</v>
      </c>
      <c r="G6" s="570">
        <f>H12/13431</f>
        <v>148.90923981833072</v>
      </c>
      <c r="H6" s="571">
        <v>0</v>
      </c>
      <c r="I6" s="502">
        <v>150</v>
      </c>
      <c r="J6" s="484">
        <v>855</v>
      </c>
      <c r="K6" s="570">
        <v>152</v>
      </c>
      <c r="L6" s="571">
        <f>'SCUOLE IN LOMBARDIA'!H6</f>
        <v>343.49112934158478</v>
      </c>
      <c r="M6" s="572">
        <v>50</v>
      </c>
      <c r="N6" s="484">
        <f>C6+E6-F6-G6-H6-I6-J6-K6-L6-M6</f>
        <v>3738.599630840084</v>
      </c>
      <c r="O6" s="493"/>
      <c r="P6" s="639">
        <v>5278</v>
      </c>
      <c r="Q6" s="639">
        <v>5278.41</v>
      </c>
      <c r="R6" s="639">
        <v>4500</v>
      </c>
    </row>
    <row r="7" spans="2:18" s="512" customFormat="1" ht="19.5" customHeight="1" thickTop="1">
      <c r="B7" s="483" t="s">
        <v>204</v>
      </c>
      <c r="C7" s="573">
        <f>C6</f>
        <v>250</v>
      </c>
      <c r="D7" s="573">
        <f>D6</f>
        <v>1759.3333333333333</v>
      </c>
      <c r="E7" s="502">
        <f t="shared" ref="E7:E11" si="0">D7*3</f>
        <v>5278</v>
      </c>
      <c r="F7" s="484">
        <f>F6</f>
        <v>90</v>
      </c>
      <c r="G7" s="570">
        <f>G6</f>
        <v>148.90923981833072</v>
      </c>
      <c r="H7" s="571">
        <v>0</v>
      </c>
      <c r="I7" s="502">
        <v>150</v>
      </c>
      <c r="J7" s="484">
        <v>855</v>
      </c>
      <c r="K7" s="570">
        <v>152</v>
      </c>
      <c r="L7" s="571">
        <f>'SCUOLE IN LOMBARDIA'!H6</f>
        <v>343.49112934158478</v>
      </c>
      <c r="M7" s="572">
        <v>50</v>
      </c>
      <c r="N7" s="484">
        <f t="shared" ref="N7:N11" si="1">C7+E7-F7-G7-H7-I7-J7-K7-L7-M7</f>
        <v>3738.599630840084</v>
      </c>
      <c r="O7" s="493"/>
      <c r="P7" s="640"/>
      <c r="Q7" s="640"/>
      <c r="R7" s="640"/>
    </row>
    <row r="8" spans="2:18" s="512" customFormat="1" ht="19.5" customHeight="1">
      <c r="B8" s="483" t="s">
        <v>206</v>
      </c>
      <c r="C8" s="574">
        <f>C6</f>
        <v>250</v>
      </c>
      <c r="D8" s="574">
        <f>D6</f>
        <v>1759.3333333333333</v>
      </c>
      <c r="E8" s="502">
        <f t="shared" si="0"/>
        <v>5278</v>
      </c>
      <c r="F8" s="484">
        <f>F6</f>
        <v>90</v>
      </c>
      <c r="G8" s="570">
        <f>G6</f>
        <v>148.90923981833072</v>
      </c>
      <c r="H8" s="571">
        <v>0</v>
      </c>
      <c r="I8" s="502">
        <v>150</v>
      </c>
      <c r="J8" s="484">
        <v>855</v>
      </c>
      <c r="K8" s="570">
        <v>152</v>
      </c>
      <c r="L8" s="571">
        <f>L6</f>
        <v>343.49112934158478</v>
      </c>
      <c r="M8" s="572">
        <v>50</v>
      </c>
      <c r="N8" s="484">
        <f t="shared" si="1"/>
        <v>3738.599630840084</v>
      </c>
      <c r="O8" s="493"/>
      <c r="P8" s="640"/>
      <c r="Q8" s="640"/>
      <c r="R8" s="640"/>
    </row>
    <row r="9" spans="2:18" s="512" customFormat="1" ht="19.5" customHeight="1">
      <c r="B9" s="483" t="s">
        <v>207</v>
      </c>
      <c r="C9" s="574">
        <f>C6</f>
        <v>250</v>
      </c>
      <c r="D9" s="574">
        <f>D6</f>
        <v>1759.3333333333333</v>
      </c>
      <c r="E9" s="502">
        <f t="shared" si="0"/>
        <v>5278</v>
      </c>
      <c r="F9" s="484">
        <f>F6</f>
        <v>90</v>
      </c>
      <c r="G9" s="570">
        <f>G6</f>
        <v>148.90923981833072</v>
      </c>
      <c r="H9" s="571">
        <v>0</v>
      </c>
      <c r="I9" s="502">
        <v>150</v>
      </c>
      <c r="J9" s="484">
        <v>855</v>
      </c>
      <c r="K9" s="570">
        <v>152</v>
      </c>
      <c r="L9" s="571">
        <f>L6</f>
        <v>343.49112934158478</v>
      </c>
      <c r="M9" s="572">
        <v>50</v>
      </c>
      <c r="N9" s="484">
        <f t="shared" si="1"/>
        <v>3738.599630840084</v>
      </c>
      <c r="O9" s="493"/>
      <c r="P9" s="640"/>
      <c r="Q9" s="640"/>
      <c r="R9" s="640"/>
    </row>
    <row r="10" spans="2:18" s="512" customFormat="1" ht="19.5" customHeight="1">
      <c r="B10" s="483" t="s">
        <v>205</v>
      </c>
      <c r="C10" s="574">
        <f>C6</f>
        <v>250</v>
      </c>
      <c r="D10" s="574">
        <f>D6</f>
        <v>1759.3333333333333</v>
      </c>
      <c r="E10" s="502">
        <f t="shared" si="0"/>
        <v>5278</v>
      </c>
      <c r="F10" s="484">
        <f>F6</f>
        <v>90</v>
      </c>
      <c r="G10" s="570">
        <f>G6</f>
        <v>148.90923981833072</v>
      </c>
      <c r="H10" s="571">
        <v>0</v>
      </c>
      <c r="I10" s="502">
        <v>150</v>
      </c>
      <c r="J10" s="484">
        <v>855</v>
      </c>
      <c r="K10" s="570">
        <v>152</v>
      </c>
      <c r="L10" s="571">
        <f>L6</f>
        <v>343.49112934158478</v>
      </c>
      <c r="M10" s="572">
        <v>50</v>
      </c>
      <c r="N10" s="484">
        <f t="shared" si="1"/>
        <v>3738.599630840084</v>
      </c>
      <c r="O10" s="493"/>
      <c r="P10" s="640"/>
      <c r="Q10" s="640"/>
      <c r="R10" s="640"/>
    </row>
    <row r="11" spans="2:18" s="512" customFormat="1" ht="19.5" customHeight="1">
      <c r="B11" s="508" t="s">
        <v>295</v>
      </c>
      <c r="C11" s="574">
        <f>C6</f>
        <v>250</v>
      </c>
      <c r="D11" s="574">
        <f>D6</f>
        <v>1759.3333333333333</v>
      </c>
      <c r="E11" s="502">
        <f t="shared" si="0"/>
        <v>5278</v>
      </c>
      <c r="F11" s="484">
        <f>F6</f>
        <v>90</v>
      </c>
      <c r="G11" s="570">
        <f>G6</f>
        <v>148.90923981833072</v>
      </c>
      <c r="H11" s="571">
        <v>0</v>
      </c>
      <c r="I11" s="502">
        <v>150</v>
      </c>
      <c r="J11" s="484">
        <v>855</v>
      </c>
      <c r="K11" s="570">
        <v>152</v>
      </c>
      <c r="L11" s="571">
        <f>L6</f>
        <v>343.49112934158478</v>
      </c>
      <c r="M11" s="572">
        <v>50</v>
      </c>
      <c r="N11" s="484">
        <f t="shared" si="1"/>
        <v>3738.599630840084</v>
      </c>
      <c r="O11" s="493"/>
      <c r="P11" s="641"/>
      <c r="Q11" s="641"/>
      <c r="R11" s="641"/>
    </row>
    <row r="12" spans="2:18" s="512" customFormat="1" ht="19.5" customHeight="1">
      <c r="C12" s="513"/>
      <c r="D12" s="513"/>
      <c r="E12" s="513"/>
      <c r="F12" s="513"/>
      <c r="H12" s="516">
        <v>2000000</v>
      </c>
      <c r="L12" s="559"/>
      <c r="M12" s="560"/>
      <c r="O12" s="554"/>
    </row>
    <row r="13" spans="2:18" s="512" customFormat="1" ht="15" customHeight="1">
      <c r="B13" s="637" t="s">
        <v>5</v>
      </c>
      <c r="C13" s="637" t="s">
        <v>210</v>
      </c>
      <c r="D13" s="637" t="s">
        <v>231</v>
      </c>
      <c r="E13" s="637" t="s">
        <v>245</v>
      </c>
      <c r="F13" s="637" t="s">
        <v>299</v>
      </c>
      <c r="G13" s="673" t="s">
        <v>208</v>
      </c>
      <c r="H13" s="672" t="s">
        <v>307</v>
      </c>
      <c r="I13" s="667" t="s">
        <v>209</v>
      </c>
      <c r="J13" s="631" t="s">
        <v>216</v>
      </c>
      <c r="K13" s="647" t="s">
        <v>217</v>
      </c>
      <c r="L13" s="672" t="s">
        <v>219</v>
      </c>
      <c r="M13" s="654"/>
      <c r="N13" s="637" t="s">
        <v>265</v>
      </c>
      <c r="O13" s="492"/>
      <c r="P13" s="637" t="s">
        <v>214</v>
      </c>
      <c r="Q13" s="631" t="s">
        <v>215</v>
      </c>
      <c r="R13" s="631" t="s">
        <v>230</v>
      </c>
    </row>
    <row r="14" spans="2:18" s="512" customFormat="1" ht="15" customHeight="1">
      <c r="B14" s="631"/>
      <c r="C14" s="637"/>
      <c r="D14" s="637"/>
      <c r="E14" s="637"/>
      <c r="F14" s="637"/>
      <c r="G14" s="673"/>
      <c r="H14" s="672"/>
      <c r="I14" s="667"/>
      <c r="J14" s="632"/>
      <c r="K14" s="648"/>
      <c r="L14" s="672"/>
      <c r="M14" s="654"/>
      <c r="N14" s="637"/>
      <c r="O14" s="492"/>
      <c r="P14" s="637"/>
      <c r="Q14" s="632"/>
      <c r="R14" s="632"/>
    </row>
    <row r="15" spans="2:18" s="512" customFormat="1" ht="33.6" customHeight="1" thickBot="1">
      <c r="B15" s="575" t="s">
        <v>202</v>
      </c>
      <c r="C15" s="637"/>
      <c r="D15" s="637"/>
      <c r="E15" s="637"/>
      <c r="F15" s="637"/>
      <c r="G15" s="673"/>
      <c r="H15" s="672"/>
      <c r="I15" s="667"/>
      <c r="J15" s="633"/>
      <c r="K15" s="649"/>
      <c r="L15" s="672"/>
      <c r="M15" s="654"/>
      <c r="N15" s="637"/>
      <c r="O15" s="492"/>
      <c r="P15" s="637"/>
      <c r="Q15" s="633"/>
      <c r="R15" s="633"/>
    </row>
    <row r="16" spans="2:18" s="512" customFormat="1" ht="19.5" customHeight="1" thickTop="1" thickBot="1">
      <c r="B16" s="485" t="s">
        <v>203</v>
      </c>
      <c r="C16" s="568">
        <v>250</v>
      </c>
      <c r="D16" s="569">
        <f>P16/3</f>
        <v>1901.49</v>
      </c>
      <c r="E16" s="482">
        <f>D16*3</f>
        <v>5704.47</v>
      </c>
      <c r="F16" s="482">
        <v>700</v>
      </c>
      <c r="G16" s="576">
        <v>0</v>
      </c>
      <c r="H16" s="578">
        <v>2</v>
      </c>
      <c r="I16" s="577">
        <v>0</v>
      </c>
      <c r="J16" s="482">
        <v>360</v>
      </c>
      <c r="K16" s="576">
        <v>0</v>
      </c>
      <c r="L16" s="578">
        <f>'SCUOLE IN LOMBARDIA'!H7</f>
        <v>350.08489558717991</v>
      </c>
      <c r="M16" s="579"/>
      <c r="N16" s="482">
        <f>C16+E16-F16-G16-H16-I16-J16-K16-L16-M16</f>
        <v>4542.3851044128205</v>
      </c>
      <c r="O16" s="493"/>
      <c r="P16" s="634">
        <v>5704.47</v>
      </c>
      <c r="Q16" s="634">
        <v>5704.47</v>
      </c>
      <c r="R16" s="634">
        <v>4851</v>
      </c>
    </row>
    <row r="17" spans="2:18" s="512" customFormat="1" ht="19.5" customHeight="1" thickTop="1">
      <c r="B17" s="485" t="s">
        <v>204</v>
      </c>
      <c r="C17" s="574">
        <f>C16</f>
        <v>250</v>
      </c>
      <c r="D17" s="574">
        <f>D16</f>
        <v>1901.49</v>
      </c>
      <c r="E17" s="482">
        <f t="shared" ref="E17:E21" si="2">D17*3</f>
        <v>5704.47</v>
      </c>
      <c r="F17" s="482">
        <v>600</v>
      </c>
      <c r="G17" s="576">
        <v>0</v>
      </c>
      <c r="H17" s="578">
        <v>2</v>
      </c>
      <c r="I17" s="577">
        <v>0</v>
      </c>
      <c r="J17" s="482">
        <v>360</v>
      </c>
      <c r="K17" s="576">
        <v>0</v>
      </c>
      <c r="L17" s="578">
        <f>L16</f>
        <v>350.08489558717991</v>
      </c>
      <c r="M17" s="579"/>
      <c r="N17" s="482">
        <f t="shared" ref="N17:N21" si="3">C17+E17-F17-G17-H17-I17-J17-K17-L17-M17</f>
        <v>4642.3851044128205</v>
      </c>
      <c r="O17" s="493"/>
      <c r="P17" s="635"/>
      <c r="Q17" s="635"/>
      <c r="R17" s="635"/>
    </row>
    <row r="18" spans="2:18" s="512" customFormat="1" ht="19.5" customHeight="1">
      <c r="B18" s="485" t="s">
        <v>206</v>
      </c>
      <c r="C18" s="574">
        <f>C16</f>
        <v>250</v>
      </c>
      <c r="D18" s="574">
        <f>D16</f>
        <v>1901.49</v>
      </c>
      <c r="E18" s="482">
        <f t="shared" si="2"/>
        <v>5704.47</v>
      </c>
      <c r="F18" s="482">
        <v>450</v>
      </c>
      <c r="G18" s="576">
        <v>0</v>
      </c>
      <c r="H18" s="578">
        <v>2</v>
      </c>
      <c r="I18" s="577">
        <v>0</v>
      </c>
      <c r="J18" s="482">
        <v>360</v>
      </c>
      <c r="K18" s="576">
        <v>0</v>
      </c>
      <c r="L18" s="578">
        <f>L16</f>
        <v>350.08489558717991</v>
      </c>
      <c r="M18" s="579"/>
      <c r="N18" s="482">
        <f t="shared" si="3"/>
        <v>4792.3851044128205</v>
      </c>
      <c r="O18" s="493"/>
      <c r="P18" s="635"/>
      <c r="Q18" s="635"/>
      <c r="R18" s="635"/>
    </row>
    <row r="19" spans="2:18" s="512" customFormat="1" ht="19.5" customHeight="1">
      <c r="B19" s="485" t="s">
        <v>207</v>
      </c>
      <c r="C19" s="574">
        <f>C16</f>
        <v>250</v>
      </c>
      <c r="D19" s="574">
        <f>D16</f>
        <v>1901.49</v>
      </c>
      <c r="E19" s="482">
        <f t="shared" si="2"/>
        <v>5704.47</v>
      </c>
      <c r="F19" s="482">
        <v>450</v>
      </c>
      <c r="G19" s="576">
        <v>0</v>
      </c>
      <c r="H19" s="578">
        <v>2</v>
      </c>
      <c r="I19" s="577">
        <v>0</v>
      </c>
      <c r="J19" s="482">
        <v>360</v>
      </c>
      <c r="K19" s="576">
        <v>0</v>
      </c>
      <c r="L19" s="578">
        <f>L18</f>
        <v>350.08489558717991</v>
      </c>
      <c r="M19" s="579"/>
      <c r="N19" s="482">
        <f t="shared" si="3"/>
        <v>4792.3851044128205</v>
      </c>
      <c r="O19" s="493"/>
      <c r="P19" s="635"/>
      <c r="Q19" s="635"/>
      <c r="R19" s="635"/>
    </row>
    <row r="20" spans="2:18" s="512" customFormat="1" ht="19.5" customHeight="1">
      <c r="B20" s="485" t="s">
        <v>205</v>
      </c>
      <c r="C20" s="574">
        <f>C16</f>
        <v>250</v>
      </c>
      <c r="D20" s="574">
        <f>D16</f>
        <v>1901.49</v>
      </c>
      <c r="E20" s="482">
        <f t="shared" si="2"/>
        <v>5704.47</v>
      </c>
      <c r="F20" s="482">
        <v>300</v>
      </c>
      <c r="G20" s="576">
        <v>0</v>
      </c>
      <c r="H20" s="578">
        <v>2</v>
      </c>
      <c r="I20" s="577">
        <v>0</v>
      </c>
      <c r="J20" s="482">
        <v>360</v>
      </c>
      <c r="K20" s="576">
        <v>0</v>
      </c>
      <c r="L20" s="578">
        <f>L19</f>
        <v>350.08489558717991</v>
      </c>
      <c r="M20" s="579"/>
      <c r="N20" s="482">
        <f t="shared" si="3"/>
        <v>4942.3851044128205</v>
      </c>
      <c r="O20" s="493"/>
      <c r="P20" s="635"/>
      <c r="Q20" s="635"/>
      <c r="R20" s="635"/>
    </row>
    <row r="21" spans="2:18" s="512" customFormat="1" ht="19.5" customHeight="1">
      <c r="B21" s="509" t="s">
        <v>295</v>
      </c>
      <c r="C21" s="574">
        <f>C16</f>
        <v>250</v>
      </c>
      <c r="D21" s="574">
        <f>D16</f>
        <v>1901.49</v>
      </c>
      <c r="E21" s="482">
        <f t="shared" si="2"/>
        <v>5704.47</v>
      </c>
      <c r="F21" s="482">
        <v>0</v>
      </c>
      <c r="G21" s="576">
        <v>0</v>
      </c>
      <c r="H21" s="578">
        <v>2</v>
      </c>
      <c r="I21" s="577">
        <v>0</v>
      </c>
      <c r="J21" s="482">
        <v>360</v>
      </c>
      <c r="K21" s="576">
        <v>0</v>
      </c>
      <c r="L21" s="578">
        <f>L20</f>
        <v>350.08489558717991</v>
      </c>
      <c r="M21" s="579"/>
      <c r="N21" s="482">
        <f t="shared" si="3"/>
        <v>5242.3851044128205</v>
      </c>
      <c r="O21" s="493"/>
      <c r="P21" s="636"/>
      <c r="Q21" s="636"/>
      <c r="R21" s="636"/>
    </row>
    <row r="22" spans="2:18" s="512" customFormat="1" ht="19.5" customHeight="1">
      <c r="C22" s="513"/>
      <c r="D22" s="513"/>
      <c r="E22" s="513"/>
      <c r="F22" s="513"/>
      <c r="H22" s="559"/>
      <c r="L22" s="559"/>
      <c r="M22" s="560"/>
      <c r="O22" s="554"/>
    </row>
    <row r="23" spans="2:18" s="517" customFormat="1" ht="15" customHeight="1">
      <c r="B23" s="627" t="s">
        <v>211</v>
      </c>
      <c r="C23" s="627" t="s">
        <v>210</v>
      </c>
      <c r="D23" s="627" t="s">
        <v>232</v>
      </c>
      <c r="E23" s="627" t="s">
        <v>245</v>
      </c>
      <c r="F23" s="627" t="s">
        <v>300</v>
      </c>
      <c r="G23" s="660" t="s">
        <v>208</v>
      </c>
      <c r="H23" s="661" t="s">
        <v>308</v>
      </c>
      <c r="I23" s="658" t="s">
        <v>209</v>
      </c>
      <c r="J23" s="627" t="s">
        <v>216</v>
      </c>
      <c r="K23" s="660" t="s">
        <v>217</v>
      </c>
      <c r="L23" s="661" t="s">
        <v>219</v>
      </c>
      <c r="M23" s="662"/>
      <c r="N23" s="627" t="s">
        <v>265</v>
      </c>
      <c r="O23" s="492"/>
      <c r="P23" s="627" t="s">
        <v>214</v>
      </c>
      <c r="Q23" s="627" t="s">
        <v>215</v>
      </c>
      <c r="R23" s="627" t="s">
        <v>275</v>
      </c>
    </row>
    <row r="24" spans="2:18" s="517" customFormat="1" ht="17.25" customHeight="1">
      <c r="B24" s="642"/>
      <c r="C24" s="627"/>
      <c r="D24" s="627"/>
      <c r="E24" s="627"/>
      <c r="F24" s="627"/>
      <c r="G24" s="660"/>
      <c r="H24" s="661"/>
      <c r="I24" s="658"/>
      <c r="J24" s="627"/>
      <c r="K24" s="660"/>
      <c r="L24" s="661"/>
      <c r="M24" s="662"/>
      <c r="N24" s="627"/>
      <c r="O24" s="492"/>
      <c r="P24" s="627"/>
      <c r="Q24" s="627"/>
      <c r="R24" s="627"/>
    </row>
    <row r="25" spans="2:18" s="517" customFormat="1" ht="27.6" customHeight="1" thickBot="1">
      <c r="B25" s="580" t="s">
        <v>202</v>
      </c>
      <c r="C25" s="627"/>
      <c r="D25" s="627"/>
      <c r="E25" s="627"/>
      <c r="F25" s="627"/>
      <c r="G25" s="660"/>
      <c r="H25" s="661"/>
      <c r="I25" s="658"/>
      <c r="J25" s="627"/>
      <c r="K25" s="660"/>
      <c r="L25" s="661"/>
      <c r="M25" s="662"/>
      <c r="N25" s="627"/>
      <c r="O25" s="492"/>
      <c r="P25" s="627"/>
      <c r="Q25" s="627"/>
      <c r="R25" s="627"/>
    </row>
    <row r="26" spans="2:18" s="512" customFormat="1" ht="19.5" customHeight="1" thickTop="1" thickBot="1">
      <c r="B26" s="486" t="s">
        <v>203</v>
      </c>
      <c r="C26" s="568">
        <v>250</v>
      </c>
      <c r="D26" s="569">
        <f>P26/3</f>
        <v>2116.0499999999997</v>
      </c>
      <c r="E26" s="489">
        <f>D26*3</f>
        <v>6348.15</v>
      </c>
      <c r="F26" s="489">
        <v>1600</v>
      </c>
      <c r="G26" s="581">
        <v>2000</v>
      </c>
      <c r="H26" s="582">
        <v>2</v>
      </c>
      <c r="I26" s="503">
        <v>0</v>
      </c>
      <c r="J26" s="489">
        <v>295</v>
      </c>
      <c r="K26" s="581">
        <v>0</v>
      </c>
      <c r="L26" s="582">
        <f>L21</f>
        <v>350.08489558717991</v>
      </c>
      <c r="M26" s="583"/>
      <c r="N26" s="489">
        <f>C26+E26-F26-G26-H26-I26-J26-K26-L26</f>
        <v>2351.0651044128199</v>
      </c>
      <c r="O26" s="493"/>
      <c r="P26" s="628">
        <v>6348.15</v>
      </c>
      <c r="Q26" s="628">
        <v>6348.15</v>
      </c>
      <c r="R26" s="628">
        <v>6000</v>
      </c>
    </row>
    <row r="27" spans="2:18" s="512" customFormat="1" ht="19.5" customHeight="1" thickTop="1">
      <c r="B27" s="486" t="s">
        <v>204</v>
      </c>
      <c r="C27" s="574">
        <f t="shared" ref="C27:C31" si="4">C26</f>
        <v>250</v>
      </c>
      <c r="D27" s="574">
        <f>D26</f>
        <v>2116.0499999999997</v>
      </c>
      <c r="E27" s="489">
        <f t="shared" ref="E27:E31" si="5">D27*3</f>
        <v>6348.15</v>
      </c>
      <c r="F27" s="489">
        <v>1300</v>
      </c>
      <c r="G27" s="581">
        <v>2000</v>
      </c>
      <c r="H27" s="582">
        <v>2</v>
      </c>
      <c r="I27" s="503">
        <v>0</v>
      </c>
      <c r="J27" s="489">
        <v>295</v>
      </c>
      <c r="K27" s="581">
        <v>0</v>
      </c>
      <c r="L27" s="582">
        <f>L26</f>
        <v>350.08489558717991</v>
      </c>
      <c r="M27" s="583"/>
      <c r="N27" s="489">
        <f t="shared" ref="N27:N31" si="6">C27+E27-F27-G27-H27-I27-J27-K27-L27</f>
        <v>2651.0651044128199</v>
      </c>
      <c r="O27" s="493"/>
      <c r="P27" s="629"/>
      <c r="Q27" s="629"/>
      <c r="R27" s="629"/>
    </row>
    <row r="28" spans="2:18" s="512" customFormat="1" ht="19.5" customHeight="1">
      <c r="B28" s="486" t="s">
        <v>206</v>
      </c>
      <c r="C28" s="574">
        <f t="shared" si="4"/>
        <v>250</v>
      </c>
      <c r="D28" s="574">
        <f>D26</f>
        <v>2116.0499999999997</v>
      </c>
      <c r="E28" s="489">
        <f t="shared" si="5"/>
        <v>6348.15</v>
      </c>
      <c r="F28" s="489">
        <v>1100</v>
      </c>
      <c r="G28" s="581">
        <v>2000</v>
      </c>
      <c r="H28" s="582">
        <v>2</v>
      </c>
      <c r="I28" s="503">
        <v>0</v>
      </c>
      <c r="J28" s="489">
        <v>295</v>
      </c>
      <c r="K28" s="581">
        <v>0</v>
      </c>
      <c r="L28" s="582">
        <f>L27</f>
        <v>350.08489558717991</v>
      </c>
      <c r="M28" s="583"/>
      <c r="N28" s="489">
        <f t="shared" si="6"/>
        <v>2851.0651044128199</v>
      </c>
      <c r="O28" s="493"/>
      <c r="P28" s="629"/>
      <c r="Q28" s="629"/>
      <c r="R28" s="629"/>
    </row>
    <row r="29" spans="2:18" s="512" customFormat="1" ht="19.5" customHeight="1">
      <c r="B29" s="486" t="s">
        <v>207</v>
      </c>
      <c r="C29" s="574">
        <f t="shared" si="4"/>
        <v>250</v>
      </c>
      <c r="D29" s="574">
        <f>D26</f>
        <v>2116.0499999999997</v>
      </c>
      <c r="E29" s="489">
        <f t="shared" si="5"/>
        <v>6348.15</v>
      </c>
      <c r="F29" s="489">
        <v>1100</v>
      </c>
      <c r="G29" s="581">
        <v>0</v>
      </c>
      <c r="H29" s="582">
        <v>2</v>
      </c>
      <c r="I29" s="503">
        <v>0</v>
      </c>
      <c r="J29" s="489">
        <v>295</v>
      </c>
      <c r="K29" s="581">
        <v>0</v>
      </c>
      <c r="L29" s="582">
        <f>L28</f>
        <v>350.08489558717991</v>
      </c>
      <c r="M29" s="583"/>
      <c r="N29" s="489">
        <f t="shared" si="6"/>
        <v>4851.0651044128199</v>
      </c>
      <c r="O29" s="493"/>
      <c r="P29" s="629"/>
      <c r="Q29" s="629"/>
      <c r="R29" s="629"/>
    </row>
    <row r="30" spans="2:18" s="512" customFormat="1" ht="19.5" customHeight="1">
      <c r="B30" s="486" t="s">
        <v>205</v>
      </c>
      <c r="C30" s="574">
        <f t="shared" si="4"/>
        <v>250</v>
      </c>
      <c r="D30" s="574">
        <f>D26</f>
        <v>2116.0499999999997</v>
      </c>
      <c r="E30" s="489">
        <f t="shared" si="5"/>
        <v>6348.15</v>
      </c>
      <c r="F30" s="489">
        <v>1000</v>
      </c>
      <c r="G30" s="581">
        <v>0</v>
      </c>
      <c r="H30" s="582">
        <v>2</v>
      </c>
      <c r="I30" s="503">
        <v>0</v>
      </c>
      <c r="J30" s="489">
        <v>295</v>
      </c>
      <c r="K30" s="581">
        <v>0</v>
      </c>
      <c r="L30" s="582">
        <f>L29</f>
        <v>350.08489558717991</v>
      </c>
      <c r="M30" s="583"/>
      <c r="N30" s="489">
        <f t="shared" si="6"/>
        <v>4951.0651044128199</v>
      </c>
      <c r="O30" s="493"/>
      <c r="P30" s="629"/>
      <c r="Q30" s="629"/>
      <c r="R30" s="629"/>
    </row>
    <row r="31" spans="2:18" s="512" customFormat="1" ht="19.5" customHeight="1">
      <c r="B31" s="510" t="s">
        <v>295</v>
      </c>
      <c r="C31" s="574">
        <f t="shared" si="4"/>
        <v>250</v>
      </c>
      <c r="D31" s="574">
        <f>D26</f>
        <v>2116.0499999999997</v>
      </c>
      <c r="E31" s="489">
        <f t="shared" si="5"/>
        <v>6348.15</v>
      </c>
      <c r="F31" s="489">
        <v>0</v>
      </c>
      <c r="G31" s="581">
        <v>0</v>
      </c>
      <c r="H31" s="582">
        <v>2</v>
      </c>
      <c r="I31" s="503">
        <v>0</v>
      </c>
      <c r="J31" s="489">
        <v>295</v>
      </c>
      <c r="K31" s="581">
        <v>0</v>
      </c>
      <c r="L31" s="582">
        <f>L30</f>
        <v>350.08489558717991</v>
      </c>
      <c r="M31" s="583"/>
      <c r="N31" s="489">
        <f t="shared" si="6"/>
        <v>5951.0651044128199</v>
      </c>
      <c r="O31" s="493"/>
      <c r="P31" s="630"/>
      <c r="Q31" s="630"/>
      <c r="R31" s="630"/>
    </row>
    <row r="32" spans="2:18" s="512" customFormat="1" ht="19.5" customHeight="1">
      <c r="C32" s="513"/>
      <c r="D32" s="513"/>
      <c r="E32" s="513"/>
      <c r="F32" s="513"/>
      <c r="H32" s="559"/>
      <c r="L32" s="559"/>
      <c r="M32" s="560"/>
      <c r="O32" s="554"/>
    </row>
    <row r="33" spans="2:18" s="512" customFormat="1" ht="15" customHeight="1">
      <c r="B33" s="624" t="s">
        <v>213</v>
      </c>
      <c r="C33" s="624" t="s">
        <v>210</v>
      </c>
      <c r="D33" s="624" t="s">
        <v>233</v>
      </c>
      <c r="E33" s="624" t="s">
        <v>245</v>
      </c>
      <c r="F33" s="624" t="s">
        <v>299</v>
      </c>
      <c r="G33" s="655" t="s">
        <v>208</v>
      </c>
      <c r="H33" s="622" t="s">
        <v>309</v>
      </c>
      <c r="I33" s="623" t="s">
        <v>209</v>
      </c>
      <c r="J33" s="624" t="s">
        <v>216</v>
      </c>
      <c r="K33" s="655" t="s">
        <v>217</v>
      </c>
      <c r="L33" s="622" t="s">
        <v>219</v>
      </c>
      <c r="M33" s="674"/>
      <c r="N33" s="624" t="s">
        <v>265</v>
      </c>
      <c r="O33" s="492"/>
      <c r="P33" s="624" t="s">
        <v>214</v>
      </c>
      <c r="Q33" s="624" t="s">
        <v>215</v>
      </c>
      <c r="R33" s="624" t="s">
        <v>275</v>
      </c>
    </row>
    <row r="34" spans="2:18" s="512" customFormat="1" ht="13.8" customHeight="1">
      <c r="B34" s="659"/>
      <c r="C34" s="624"/>
      <c r="D34" s="624"/>
      <c r="E34" s="624"/>
      <c r="F34" s="624"/>
      <c r="G34" s="655"/>
      <c r="H34" s="622"/>
      <c r="I34" s="623"/>
      <c r="J34" s="624"/>
      <c r="K34" s="655"/>
      <c r="L34" s="622"/>
      <c r="M34" s="674"/>
      <c r="N34" s="624"/>
      <c r="O34" s="492"/>
      <c r="P34" s="624"/>
      <c r="Q34" s="624"/>
      <c r="R34" s="624"/>
    </row>
    <row r="35" spans="2:18" s="512" customFormat="1" ht="31.2" customHeight="1" thickBot="1">
      <c r="B35" s="584" t="s">
        <v>202</v>
      </c>
      <c r="C35" s="624"/>
      <c r="D35" s="624"/>
      <c r="E35" s="624"/>
      <c r="F35" s="624"/>
      <c r="G35" s="655"/>
      <c r="H35" s="622"/>
      <c r="I35" s="623"/>
      <c r="J35" s="624"/>
      <c r="K35" s="655"/>
      <c r="L35" s="622"/>
      <c r="M35" s="674"/>
      <c r="N35" s="624"/>
      <c r="O35" s="492"/>
      <c r="P35" s="624"/>
      <c r="Q35" s="624"/>
      <c r="R35" s="624"/>
    </row>
    <row r="36" spans="2:18" s="512" customFormat="1" ht="19.5" customHeight="1" thickTop="1" thickBot="1">
      <c r="B36" s="487" t="s">
        <v>203</v>
      </c>
      <c r="C36" s="568">
        <v>250</v>
      </c>
      <c r="D36" s="569">
        <f>P36/3</f>
        <v>2231.33</v>
      </c>
      <c r="E36" s="488">
        <f>D36*3</f>
        <v>6693.99</v>
      </c>
      <c r="F36" s="488">
        <v>2000</v>
      </c>
      <c r="G36" s="585">
        <v>2000</v>
      </c>
      <c r="H36" s="586">
        <v>2</v>
      </c>
      <c r="I36" s="504">
        <v>0</v>
      </c>
      <c r="J36" s="488">
        <v>227</v>
      </c>
      <c r="K36" s="585">
        <v>152</v>
      </c>
      <c r="L36" s="586">
        <f>L31</f>
        <v>350.08489558717991</v>
      </c>
      <c r="M36" s="587"/>
      <c r="N36" s="488">
        <f>C36+E36-F36-G36-H36-I36-J36-K36-L36-M36</f>
        <v>2212.90510441282</v>
      </c>
      <c r="O36" s="493"/>
      <c r="P36" s="616">
        <v>6693.99</v>
      </c>
      <c r="Q36" s="616">
        <v>6693.99</v>
      </c>
      <c r="R36" s="616">
        <v>6200</v>
      </c>
    </row>
    <row r="37" spans="2:18" s="512" customFormat="1" ht="19.5" customHeight="1" thickTop="1">
      <c r="B37" s="487" t="s">
        <v>204</v>
      </c>
      <c r="C37" s="574">
        <f t="shared" ref="C37:C41" si="7">C36</f>
        <v>250</v>
      </c>
      <c r="D37" s="574">
        <f>D36</f>
        <v>2231.33</v>
      </c>
      <c r="E37" s="488">
        <f t="shared" ref="E37:E41" si="8">D37*3</f>
        <v>6693.99</v>
      </c>
      <c r="F37" s="488">
        <v>1600</v>
      </c>
      <c r="G37" s="585">
        <v>2000</v>
      </c>
      <c r="H37" s="586">
        <v>2</v>
      </c>
      <c r="I37" s="504">
        <v>0</v>
      </c>
      <c r="J37" s="488">
        <v>227</v>
      </c>
      <c r="K37" s="585">
        <v>152</v>
      </c>
      <c r="L37" s="586">
        <f>L31</f>
        <v>350.08489558717991</v>
      </c>
      <c r="M37" s="587"/>
      <c r="N37" s="488">
        <f t="shared" ref="N37:N41" si="9">C37+E37-F37-G37-H37-I37-J37-K37-L37-M37</f>
        <v>2612.90510441282</v>
      </c>
      <c r="O37" s="493"/>
      <c r="P37" s="617"/>
      <c r="Q37" s="617"/>
      <c r="R37" s="617"/>
    </row>
    <row r="38" spans="2:18" s="512" customFormat="1" ht="19.5" customHeight="1">
      <c r="B38" s="487" t="s">
        <v>206</v>
      </c>
      <c r="C38" s="574">
        <f t="shared" si="7"/>
        <v>250</v>
      </c>
      <c r="D38" s="574">
        <f>D36</f>
        <v>2231.33</v>
      </c>
      <c r="E38" s="488">
        <f t="shared" si="8"/>
        <v>6693.99</v>
      </c>
      <c r="F38" s="488">
        <v>1400</v>
      </c>
      <c r="G38" s="585">
        <v>2000</v>
      </c>
      <c r="H38" s="586">
        <v>2</v>
      </c>
      <c r="I38" s="504">
        <v>0</v>
      </c>
      <c r="J38" s="488">
        <v>227</v>
      </c>
      <c r="K38" s="585">
        <v>152</v>
      </c>
      <c r="L38" s="586">
        <f>L31</f>
        <v>350.08489558717991</v>
      </c>
      <c r="M38" s="587"/>
      <c r="N38" s="488">
        <f t="shared" si="9"/>
        <v>2812.90510441282</v>
      </c>
      <c r="O38" s="493"/>
      <c r="P38" s="617"/>
      <c r="Q38" s="617"/>
      <c r="R38" s="617"/>
    </row>
    <row r="39" spans="2:18" s="512" customFormat="1" ht="19.5" customHeight="1">
      <c r="B39" s="487" t="s">
        <v>207</v>
      </c>
      <c r="C39" s="574">
        <f t="shared" si="7"/>
        <v>250</v>
      </c>
      <c r="D39" s="574">
        <f>D36</f>
        <v>2231.33</v>
      </c>
      <c r="E39" s="488">
        <f t="shared" si="8"/>
        <v>6693.99</v>
      </c>
      <c r="F39" s="488">
        <v>1400</v>
      </c>
      <c r="G39" s="585">
        <v>0</v>
      </c>
      <c r="H39" s="586">
        <v>2</v>
      </c>
      <c r="I39" s="504">
        <v>0</v>
      </c>
      <c r="J39" s="488">
        <v>227</v>
      </c>
      <c r="K39" s="585">
        <v>152</v>
      </c>
      <c r="L39" s="586">
        <f>L31</f>
        <v>350.08489558717991</v>
      </c>
      <c r="M39" s="587"/>
      <c r="N39" s="488">
        <f t="shared" si="9"/>
        <v>4812.90510441282</v>
      </c>
      <c r="O39" s="493"/>
      <c r="P39" s="617"/>
      <c r="Q39" s="617"/>
      <c r="R39" s="617"/>
    </row>
    <row r="40" spans="2:18" s="512" customFormat="1" ht="19.5" customHeight="1">
      <c r="B40" s="487" t="s">
        <v>205</v>
      </c>
      <c r="C40" s="574">
        <f t="shared" si="7"/>
        <v>250</v>
      </c>
      <c r="D40" s="574">
        <f>D36</f>
        <v>2231.33</v>
      </c>
      <c r="E40" s="488">
        <f t="shared" si="8"/>
        <v>6693.99</v>
      </c>
      <c r="F40" s="488">
        <v>1300</v>
      </c>
      <c r="G40" s="585">
        <v>0</v>
      </c>
      <c r="H40" s="586">
        <v>2</v>
      </c>
      <c r="I40" s="504">
        <v>0</v>
      </c>
      <c r="J40" s="488">
        <v>227</v>
      </c>
      <c r="K40" s="585">
        <v>152</v>
      </c>
      <c r="L40" s="586">
        <f>L31</f>
        <v>350.08489558717991</v>
      </c>
      <c r="M40" s="587"/>
      <c r="N40" s="488">
        <f t="shared" si="9"/>
        <v>4912.90510441282</v>
      </c>
      <c r="O40" s="493"/>
      <c r="P40" s="617"/>
      <c r="Q40" s="617"/>
      <c r="R40" s="617"/>
    </row>
    <row r="41" spans="2:18" s="512" customFormat="1" ht="19.5" customHeight="1" thickBot="1">
      <c r="B41" s="511" t="s">
        <v>295</v>
      </c>
      <c r="C41" s="574">
        <f t="shared" si="7"/>
        <v>250</v>
      </c>
      <c r="D41" s="574">
        <f>D36</f>
        <v>2231.33</v>
      </c>
      <c r="E41" s="488">
        <f t="shared" si="8"/>
        <v>6693.99</v>
      </c>
      <c r="F41" s="488">
        <v>0</v>
      </c>
      <c r="G41" s="585">
        <v>0</v>
      </c>
      <c r="H41" s="588">
        <v>2</v>
      </c>
      <c r="I41" s="504">
        <v>0</v>
      </c>
      <c r="J41" s="488">
        <v>227</v>
      </c>
      <c r="K41" s="585">
        <v>152</v>
      </c>
      <c r="L41" s="588">
        <f>L40</f>
        <v>350.08489558717991</v>
      </c>
      <c r="M41" s="587"/>
      <c r="N41" s="488">
        <f t="shared" si="9"/>
        <v>6212.90510441282</v>
      </c>
      <c r="O41" s="493"/>
      <c r="P41" s="618"/>
      <c r="Q41" s="618"/>
      <c r="R41" s="618"/>
    </row>
    <row r="42" spans="2:18" s="512" customFormat="1" ht="15" customHeight="1">
      <c r="B42" s="518" t="s">
        <v>281</v>
      </c>
      <c r="C42" s="513"/>
      <c r="D42" s="513"/>
      <c r="E42" s="513"/>
      <c r="F42" s="513"/>
      <c r="N42" s="505"/>
      <c r="O42" s="554"/>
    </row>
    <row r="43" spans="2:18" s="512" customFormat="1" ht="15" customHeight="1">
      <c r="B43" s="518" t="s">
        <v>279</v>
      </c>
      <c r="C43" s="513"/>
      <c r="D43" s="513"/>
      <c r="E43" s="513"/>
      <c r="F43" s="513"/>
      <c r="N43" s="501"/>
      <c r="O43" s="554"/>
      <c r="P43" s="519" t="s">
        <v>214</v>
      </c>
    </row>
    <row r="44" spans="2:18" s="512" customFormat="1" ht="15" customHeight="1">
      <c r="B44" s="518" t="s">
        <v>322</v>
      </c>
      <c r="C44" s="589"/>
      <c r="D44" s="589"/>
      <c r="E44" s="589"/>
      <c r="F44" s="589"/>
      <c r="G44" s="589"/>
      <c r="H44" s="589"/>
      <c r="I44" s="589"/>
      <c r="J44" s="589"/>
      <c r="O44" s="554"/>
      <c r="P44" s="519" t="s">
        <v>276</v>
      </c>
    </row>
    <row r="45" spans="2:18" s="512" customFormat="1" ht="15" customHeight="1">
      <c r="B45" s="512" t="s">
        <v>324</v>
      </c>
      <c r="C45" s="513"/>
      <c r="D45" s="513"/>
      <c r="E45" s="513"/>
      <c r="F45" s="513"/>
      <c r="O45" s="554"/>
      <c r="P45" s="519"/>
    </row>
    <row r="46" spans="2:18" s="512" customFormat="1" ht="16.8" customHeight="1">
      <c r="D46" s="513"/>
      <c r="E46" s="513"/>
      <c r="F46" s="513"/>
      <c r="O46" s="554"/>
      <c r="P46" s="519"/>
    </row>
    <row r="47" spans="2:18" s="512" customFormat="1" ht="17.399999999999999" customHeight="1">
      <c r="B47" s="591" t="s">
        <v>268</v>
      </c>
      <c r="C47" s="589"/>
      <c r="D47" s="589"/>
      <c r="E47" s="589"/>
      <c r="F47" s="513"/>
      <c r="O47" s="554"/>
      <c r="P47" s="590"/>
      <c r="Q47" s="590"/>
      <c r="R47" s="590"/>
    </row>
    <row r="48" spans="2:18" s="512" customFormat="1" ht="10.199999999999999" customHeight="1" thickBot="1">
      <c r="C48" s="513"/>
      <c r="D48" s="513"/>
      <c r="E48" s="513"/>
      <c r="F48" s="513"/>
      <c r="O48" s="554"/>
    </row>
    <row r="49" spans="2:15" s="512" customFormat="1" ht="28.2" thickBot="1">
      <c r="B49" s="521" t="s">
        <v>179</v>
      </c>
      <c r="C49" s="522" t="s">
        <v>221</v>
      </c>
      <c r="D49" s="522" t="s">
        <v>222</v>
      </c>
      <c r="E49" s="522" t="s">
        <v>228</v>
      </c>
      <c r="F49" s="522" t="s">
        <v>181</v>
      </c>
      <c r="G49" s="523" t="s">
        <v>296</v>
      </c>
      <c r="O49" s="554"/>
    </row>
    <row r="50" spans="2:15" s="512" customFormat="1" ht="28.2" thickBot="1">
      <c r="B50" s="524" t="s">
        <v>223</v>
      </c>
      <c r="C50" s="525" t="s">
        <v>227</v>
      </c>
      <c r="D50" s="526" t="s">
        <v>224</v>
      </c>
      <c r="E50" s="527"/>
      <c r="F50" s="526"/>
      <c r="G50" s="528"/>
      <c r="O50" s="554"/>
    </row>
    <row r="51" spans="2:15" s="512" customFormat="1" ht="28.2" thickBot="1">
      <c r="B51" s="529" t="s">
        <v>226</v>
      </c>
      <c r="C51" s="530">
        <f>1646.6*24</f>
        <v>39518.399999999994</v>
      </c>
      <c r="D51" s="531">
        <f>806*24</f>
        <v>19344</v>
      </c>
      <c r="E51" s="531">
        <v>500</v>
      </c>
      <c r="F51" s="531">
        <v>500</v>
      </c>
      <c r="G51" s="532">
        <f>C51-D51-E51-F51</f>
        <v>19174.399999999994</v>
      </c>
      <c r="O51" s="554"/>
    </row>
    <row r="52" spans="2:15" s="512" customFormat="1" ht="13.8">
      <c r="O52" s="554"/>
    </row>
    <row r="53" spans="2:15" s="512" customFormat="1" ht="18" customHeight="1">
      <c r="B53" s="591" t="s">
        <v>269</v>
      </c>
      <c r="C53" s="589"/>
      <c r="D53" s="589"/>
      <c r="E53" s="589"/>
      <c r="F53" s="513"/>
      <c r="O53" s="554"/>
    </row>
    <row r="54" spans="2:15" s="512" customFormat="1" ht="8.4" customHeight="1" thickBot="1">
      <c r="C54" s="513"/>
      <c r="D54" s="513"/>
      <c r="E54" s="513"/>
      <c r="F54" s="513"/>
      <c r="O54" s="554"/>
    </row>
    <row r="55" spans="2:15" s="512" customFormat="1" ht="28.2" thickBot="1">
      <c r="B55" s="521" t="s">
        <v>179</v>
      </c>
      <c r="C55" s="522" t="s">
        <v>221</v>
      </c>
      <c r="D55" s="522" t="s">
        <v>222</v>
      </c>
      <c r="E55" s="522" t="s">
        <v>228</v>
      </c>
      <c r="F55" s="522" t="s">
        <v>181</v>
      </c>
      <c r="G55" s="523" t="s">
        <v>296</v>
      </c>
      <c r="O55" s="554"/>
    </row>
    <row r="56" spans="2:15" s="512" customFormat="1" ht="28.2" thickBot="1">
      <c r="B56" s="524" t="s">
        <v>223</v>
      </c>
      <c r="C56" s="526" t="s">
        <v>227</v>
      </c>
      <c r="D56" s="526" t="s">
        <v>224</v>
      </c>
      <c r="E56" s="527"/>
      <c r="F56" s="526" t="s">
        <v>225</v>
      </c>
      <c r="G56" s="528"/>
      <c r="O56" s="554"/>
    </row>
    <row r="57" spans="2:15" s="512" customFormat="1" ht="28.2" thickBot="1">
      <c r="B57" s="529" t="s">
        <v>226</v>
      </c>
      <c r="C57" s="530">
        <f>C51</f>
        <v>39518.399999999994</v>
      </c>
      <c r="D57" s="531">
        <f>806*24</f>
        <v>19344</v>
      </c>
      <c r="E57" s="533"/>
      <c r="F57" s="531">
        <v>3000</v>
      </c>
      <c r="G57" s="532">
        <f>C57-D57-F57</f>
        <v>17174.399999999994</v>
      </c>
      <c r="O57" s="554"/>
    </row>
    <row r="58" spans="2:15" s="512" customFormat="1" ht="13.8">
      <c r="C58" s="513"/>
      <c r="D58" s="513"/>
      <c r="E58" s="513"/>
      <c r="F58" s="513"/>
      <c r="O58" s="554"/>
    </row>
    <row r="59" spans="2:15" s="512" customFormat="1" ht="13.8">
      <c r="C59" s="513"/>
      <c r="D59" s="513"/>
      <c r="E59" s="513"/>
      <c r="F59" s="513"/>
      <c r="O59" s="554"/>
    </row>
    <row r="60" spans="2:15" s="512" customFormat="1" ht="13.8">
      <c r="B60" s="534" t="s">
        <v>270</v>
      </c>
      <c r="C60" s="619" t="s">
        <v>259</v>
      </c>
      <c r="D60" s="619"/>
      <c r="E60" s="620" t="s">
        <v>260</v>
      </c>
      <c r="F60" s="621"/>
      <c r="G60" s="535" t="s">
        <v>289</v>
      </c>
      <c r="O60" s="554"/>
    </row>
    <row r="61" spans="2:15" s="512" customFormat="1" ht="13.8">
      <c r="B61" s="592" t="s">
        <v>277</v>
      </c>
      <c r="C61" s="536" t="s">
        <v>257</v>
      </c>
      <c r="D61" s="536" t="s">
        <v>258</v>
      </c>
      <c r="E61" s="537" t="s">
        <v>257</v>
      </c>
      <c r="F61" s="537" t="s">
        <v>258</v>
      </c>
      <c r="G61" s="538"/>
      <c r="O61" s="554"/>
    </row>
    <row r="62" spans="2:15" s="512" customFormat="1" ht="6.6" customHeight="1">
      <c r="B62" s="592"/>
      <c r="C62" s="536"/>
      <c r="D62" s="536"/>
      <c r="E62" s="537"/>
      <c r="F62" s="537"/>
      <c r="G62" s="538"/>
      <c r="O62" s="554"/>
    </row>
    <row r="63" spans="2:15" s="512" customFormat="1" ht="13.8">
      <c r="B63" s="539" t="s">
        <v>254</v>
      </c>
      <c r="C63" s="540">
        <v>1333</v>
      </c>
      <c r="D63" s="540">
        <v>108877</v>
      </c>
      <c r="E63" s="541">
        <v>1726</v>
      </c>
      <c r="F63" s="541">
        <v>136716</v>
      </c>
      <c r="G63" s="542"/>
      <c r="O63" s="554"/>
    </row>
    <row r="64" spans="2:15" s="512" customFormat="1" ht="13.8">
      <c r="B64" s="539" t="s">
        <v>26</v>
      </c>
      <c r="C64" s="540">
        <v>2183</v>
      </c>
      <c r="D64" s="540">
        <v>422037</v>
      </c>
      <c r="E64" s="541">
        <v>242</v>
      </c>
      <c r="F64" s="541">
        <v>38855</v>
      </c>
      <c r="G64" s="542"/>
      <c r="O64" s="554"/>
    </row>
    <row r="65" spans="2:15" s="512" customFormat="1" ht="13.8">
      <c r="B65" s="539" t="s">
        <v>255</v>
      </c>
      <c r="C65" s="540">
        <v>1096</v>
      </c>
      <c r="D65" s="540">
        <v>268116</v>
      </c>
      <c r="E65" s="541">
        <v>189</v>
      </c>
      <c r="F65" s="541">
        <v>25554</v>
      </c>
      <c r="G65" s="542"/>
      <c r="O65" s="554"/>
    </row>
    <row r="66" spans="2:15" s="512" customFormat="1" ht="14.4" thickBot="1">
      <c r="B66" s="539" t="s">
        <v>256</v>
      </c>
      <c r="C66" s="543">
        <v>655</v>
      </c>
      <c r="D66" s="543">
        <v>384463</v>
      </c>
      <c r="E66" s="544">
        <v>371</v>
      </c>
      <c r="F66" s="544">
        <v>30633</v>
      </c>
      <c r="G66" s="542"/>
      <c r="O66" s="554"/>
    </row>
    <row r="67" spans="2:15" s="512" customFormat="1" ht="14.4" thickTop="1">
      <c r="B67" s="545" t="s">
        <v>261</v>
      </c>
      <c r="C67" s="546">
        <f>SUM(C63:C66)</f>
        <v>5267</v>
      </c>
      <c r="D67" s="546">
        <f>SUM(D63:D66)</f>
        <v>1183493</v>
      </c>
      <c r="E67" s="547">
        <f>SUM(E63:E66)</f>
        <v>2528</v>
      </c>
      <c r="F67" s="547">
        <f>SUM(F63:F66)</f>
        <v>231758</v>
      </c>
      <c r="G67" s="548">
        <f>F67/(D67+F67)</f>
        <v>0.16375752428367829</v>
      </c>
      <c r="O67" s="554"/>
    </row>
    <row r="68" spans="2:15" s="512" customFormat="1" ht="13.8">
      <c r="B68" s="549"/>
      <c r="C68" s="550"/>
      <c r="D68" s="550"/>
      <c r="E68" s="550"/>
      <c r="F68" s="550"/>
      <c r="G68" s="551"/>
      <c r="O68" s="554"/>
    </row>
    <row r="69" spans="2:15" s="512" customFormat="1" ht="13.8">
      <c r="C69" s="513"/>
      <c r="D69" s="513"/>
      <c r="E69" s="513"/>
      <c r="F69" s="513"/>
      <c r="O69" s="554"/>
    </row>
  </sheetData>
  <mergeCells count="79">
    <mergeCell ref="J3:J5"/>
    <mergeCell ref="K3:K5"/>
    <mergeCell ref="P6:P11"/>
    <mergeCell ref="L3:L5"/>
    <mergeCell ref="B2:D2"/>
    <mergeCell ref="I3:I5"/>
    <mergeCell ref="R36:R41"/>
    <mergeCell ref="P36:P41"/>
    <mergeCell ref="Q36:Q41"/>
    <mergeCell ref="Q33:Q35"/>
    <mergeCell ref="P33:P35"/>
    <mergeCell ref="P26:P31"/>
    <mergeCell ref="N33:N35"/>
    <mergeCell ref="Q26:Q31"/>
    <mergeCell ref="R26:R31"/>
    <mergeCell ref="R33:R35"/>
    <mergeCell ref="B23:B24"/>
    <mergeCell ref="B33:B34"/>
    <mergeCell ref="Q3:Q5"/>
    <mergeCell ref="M3:M5"/>
    <mergeCell ref="B13:B14"/>
    <mergeCell ref="C13:C15"/>
    <mergeCell ref="D13:D15"/>
    <mergeCell ref="E13:E15"/>
    <mergeCell ref="F13:F15"/>
    <mergeCell ref="B3:B4"/>
    <mergeCell ref="C3:C5"/>
    <mergeCell ref="D3:D5"/>
    <mergeCell ref="E3:E5"/>
    <mergeCell ref="F3:F5"/>
    <mergeCell ref="H3:H5"/>
    <mergeCell ref="G3:G5"/>
    <mergeCell ref="J13:J15"/>
    <mergeCell ref="K13:K15"/>
    <mergeCell ref="I33:I35"/>
    <mergeCell ref="L33:L35"/>
    <mergeCell ref="G13:G15"/>
    <mergeCell ref="I13:I15"/>
    <mergeCell ref="L13:L15"/>
    <mergeCell ref="E23:E25"/>
    <mergeCell ref="G33:G35"/>
    <mergeCell ref="F33:F35"/>
    <mergeCell ref="J33:J35"/>
    <mergeCell ref="K33:K35"/>
    <mergeCell ref="J23:J25"/>
    <mergeCell ref="K23:K25"/>
    <mergeCell ref="F23:F25"/>
    <mergeCell ref="N23:N25"/>
    <mergeCell ref="R3:R5"/>
    <mergeCell ref="R6:R11"/>
    <mergeCell ref="R13:R15"/>
    <mergeCell ref="R16:R21"/>
    <mergeCell ref="R23:R25"/>
    <mergeCell ref="P16:P21"/>
    <mergeCell ref="Q16:Q21"/>
    <mergeCell ref="Q23:Q25"/>
    <mergeCell ref="P23:P25"/>
    <mergeCell ref="Q6:Q11"/>
    <mergeCell ref="Q13:Q15"/>
    <mergeCell ref="N3:N5"/>
    <mergeCell ref="P3:P5"/>
    <mergeCell ref="P13:P15"/>
    <mergeCell ref="N13:N15"/>
    <mergeCell ref="C60:D60"/>
    <mergeCell ref="E60:F60"/>
    <mergeCell ref="M23:M25"/>
    <mergeCell ref="M33:M35"/>
    <mergeCell ref="H13:H15"/>
    <mergeCell ref="H23:H25"/>
    <mergeCell ref="H33:H35"/>
    <mergeCell ref="I23:I25"/>
    <mergeCell ref="L23:L25"/>
    <mergeCell ref="M13:M15"/>
    <mergeCell ref="G23:G25"/>
    <mergeCell ref="C33:C35"/>
    <mergeCell ref="D33:D35"/>
    <mergeCell ref="E33:E35"/>
    <mergeCell ref="C23:C25"/>
    <mergeCell ref="D23:D25"/>
  </mergeCells>
  <hyperlinks>
    <hyperlink ref="E3:E5" r:id="rId1" display="Retta annuale CMS *"/>
    <hyperlink ref="P43" r:id="rId2"/>
    <hyperlink ref="P44" r:id="rId3"/>
    <hyperlink ref="J3:J5" r:id="rId4" display="Contributi Ministeriali"/>
    <hyperlink ref="K3:K5" r:id="rId5" display="Detrazione del 19% IRPEF"/>
    <hyperlink ref="F3:F5" r:id="rId6" location=":~:text=%C3%88%20possibile%20contattare%20l'ufficio,ore%2" display="Dote Regione LOMBARDIA"/>
    <hyperlink ref="G13:G15" r:id="rId7" display="Borse di studio CEI"/>
    <hyperlink ref="L13:L15" r:id="rId8" display="Contributo emergenza covid_120Mln"/>
    <hyperlink ref="L23:L25" r:id="rId9" display="Contributo emergenza covid_120Mln"/>
    <hyperlink ref="L33:L35" r:id="rId10" display="Contributo emergenza covid_120Mln"/>
    <hyperlink ref="L3:L5" r:id="rId11" display="Contributo emergenza covid_180Mln"/>
    <hyperlink ref="G3:G5" r:id="rId12" display="Chiesa Ambrosiana destina 2 Mln dell'8 per mille -13.431 allievi"/>
    <hyperlink ref="M3:M5" r:id="rId13" display="Contributo emergenza covid_2.500.000 Comune di MILANO"/>
  </hyperlinks>
  <printOptions horizontalCentered="1"/>
  <pageMargins left="0" right="0" top="0.55118110236220474" bottom="0.55118110236220474" header="0.31496062992125984" footer="0.31496062992125984"/>
  <pageSetup paperSize="8" scale="69" orientation="landscape" r:id="rId14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119"/>
  <sheetViews>
    <sheetView topLeftCell="K1" workbookViewId="0">
      <selection activeCell="L44" sqref="L44"/>
    </sheetView>
  </sheetViews>
  <sheetFormatPr defaultRowHeight="15.6"/>
  <cols>
    <col min="1" max="1" width="3.44140625" customWidth="1"/>
    <col min="2" max="2" width="18.44140625" customWidth="1"/>
    <col min="3" max="3" width="12.77734375" style="2" customWidth="1"/>
    <col min="4" max="4" width="14.88671875" style="2" customWidth="1"/>
    <col min="5" max="5" width="13.33203125" style="2" customWidth="1"/>
    <col min="6" max="6" width="17.44140625" style="2" customWidth="1"/>
    <col min="7" max="7" width="15" customWidth="1"/>
    <col min="8" max="8" width="19" style="499" customWidth="1"/>
    <col min="9" max="9" width="10.6640625" customWidth="1"/>
    <col min="10" max="11" width="11.6640625" customWidth="1"/>
    <col min="12" max="12" width="19.109375" style="499" customWidth="1"/>
    <col min="13" max="13" width="15.6640625" style="66" customWidth="1"/>
    <col min="14" max="14" width="1.77734375" customWidth="1"/>
    <col min="15" max="15" width="15.6640625" style="66" customWidth="1"/>
    <col min="16" max="16" width="15.6640625" hidden="1" customWidth="1"/>
    <col min="17" max="17" width="18" customWidth="1"/>
  </cols>
  <sheetData>
    <row r="1" spans="2:17" ht="33" customHeight="1" thickBot="1">
      <c r="F1" s="601"/>
      <c r="G1" s="601"/>
      <c r="H1" s="498" t="s">
        <v>239</v>
      </c>
      <c r="I1" s="602"/>
      <c r="J1" s="603"/>
      <c r="M1" s="495" t="s">
        <v>220</v>
      </c>
    </row>
    <row r="2" spans="2:17" ht="22.2" customHeight="1">
      <c r="B2" s="676" t="s">
        <v>320</v>
      </c>
      <c r="C2" s="677"/>
      <c r="D2" s="677"/>
      <c r="E2" s="506" t="s">
        <v>148</v>
      </c>
      <c r="F2"/>
      <c r="G2" s="497"/>
      <c r="H2" s="500" t="s">
        <v>264</v>
      </c>
      <c r="I2" s="497"/>
      <c r="J2" s="506" t="s">
        <v>278</v>
      </c>
      <c r="K2" s="506" t="s">
        <v>150</v>
      </c>
      <c r="L2" s="500" t="s">
        <v>264</v>
      </c>
      <c r="M2" s="506" t="s">
        <v>152</v>
      </c>
    </row>
    <row r="3" spans="2:17" s="512" customFormat="1" ht="15.6" customHeight="1">
      <c r="B3" s="638" t="s">
        <v>4</v>
      </c>
      <c r="C3" s="638" t="s">
        <v>210</v>
      </c>
      <c r="D3" s="638" t="s">
        <v>233</v>
      </c>
      <c r="E3" s="663" t="s">
        <v>245</v>
      </c>
      <c r="F3" s="663" t="s">
        <v>293</v>
      </c>
      <c r="G3" s="685" t="s">
        <v>208</v>
      </c>
      <c r="H3" s="665" t="s">
        <v>312</v>
      </c>
      <c r="I3" s="666" t="s">
        <v>263</v>
      </c>
      <c r="J3" s="643" t="s">
        <v>216</v>
      </c>
      <c r="K3" s="644" t="s">
        <v>217</v>
      </c>
      <c r="L3" s="645" t="s">
        <v>218</v>
      </c>
      <c r="M3" s="675" t="s">
        <v>212</v>
      </c>
      <c r="O3" s="638" t="s">
        <v>214</v>
      </c>
      <c r="P3" s="638" t="s">
        <v>215</v>
      </c>
      <c r="Q3" s="638" t="s">
        <v>275</v>
      </c>
    </row>
    <row r="4" spans="2:17" s="512" customFormat="1" ht="14.4" customHeight="1">
      <c r="B4" s="653"/>
      <c r="C4" s="638"/>
      <c r="D4" s="638"/>
      <c r="E4" s="663"/>
      <c r="F4" s="663"/>
      <c r="G4" s="685"/>
      <c r="H4" s="665"/>
      <c r="I4" s="666"/>
      <c r="J4" s="643"/>
      <c r="K4" s="644"/>
      <c r="L4" s="645"/>
      <c r="M4" s="675"/>
      <c r="O4" s="638"/>
      <c r="P4" s="638"/>
      <c r="Q4" s="638"/>
    </row>
    <row r="5" spans="2:17" s="512" customFormat="1" ht="34.799999999999997" customHeight="1" thickBot="1">
      <c r="B5" s="567" t="s">
        <v>202</v>
      </c>
      <c r="C5" s="653"/>
      <c r="D5" s="653"/>
      <c r="E5" s="663"/>
      <c r="F5" s="663"/>
      <c r="G5" s="685"/>
      <c r="H5" s="665"/>
      <c r="I5" s="666"/>
      <c r="J5" s="643"/>
      <c r="K5" s="644"/>
      <c r="L5" s="645"/>
      <c r="M5" s="675"/>
      <c r="O5" s="638"/>
      <c r="P5" s="638"/>
      <c r="Q5" s="638"/>
    </row>
    <row r="6" spans="2:17" s="512" customFormat="1" ht="15" thickTop="1" thickBot="1">
      <c r="B6" s="483" t="s">
        <v>280</v>
      </c>
      <c r="C6" s="568">
        <v>250</v>
      </c>
      <c r="D6" s="569">
        <f>O6/3</f>
        <v>1759.3333333333333</v>
      </c>
      <c r="E6" s="502">
        <f>D6*3</f>
        <v>5278</v>
      </c>
      <c r="F6" s="484">
        <v>0</v>
      </c>
      <c r="G6" s="570">
        <v>0</v>
      </c>
      <c r="H6" s="571">
        <v>0</v>
      </c>
      <c r="I6" s="502">
        <v>233</v>
      </c>
      <c r="J6" s="484">
        <v>855</v>
      </c>
      <c r="K6" s="570">
        <v>152</v>
      </c>
      <c r="L6" s="571">
        <v>343</v>
      </c>
      <c r="M6" s="502">
        <f>C6+E6-F6-G6-H6-I6-J6-K6-L6</f>
        <v>3945</v>
      </c>
      <c r="O6" s="639">
        <v>5278</v>
      </c>
      <c r="P6" s="639">
        <v>5278.41</v>
      </c>
      <c r="Q6" s="639">
        <v>4500</v>
      </c>
    </row>
    <row r="7" spans="2:17" s="512" customFormat="1" ht="14.4" thickTop="1">
      <c r="B7" s="483" t="s">
        <v>240</v>
      </c>
      <c r="C7" s="573">
        <f>C6</f>
        <v>250</v>
      </c>
      <c r="D7" s="573">
        <f>D6</f>
        <v>1759.3333333333333</v>
      </c>
      <c r="E7" s="502">
        <f t="shared" ref="E7:E9" si="0">D7*3</f>
        <v>5278</v>
      </c>
      <c r="F7" s="484">
        <v>0</v>
      </c>
      <c r="G7" s="570">
        <v>0</v>
      </c>
      <c r="H7" s="571">
        <v>0</v>
      </c>
      <c r="I7" s="502">
        <v>233</v>
      </c>
      <c r="J7" s="484">
        <v>855</v>
      </c>
      <c r="K7" s="570">
        <v>152</v>
      </c>
      <c r="L7" s="571">
        <f>L6</f>
        <v>343</v>
      </c>
      <c r="M7" s="502">
        <f t="shared" ref="M7:M9" si="1">C7+E7-F7-G7-H7-I7-J7-K7-L7</f>
        <v>3945</v>
      </c>
      <c r="O7" s="640"/>
      <c r="P7" s="640"/>
      <c r="Q7" s="640"/>
    </row>
    <row r="8" spans="2:17" s="512" customFormat="1" ht="13.8">
      <c r="B8" s="483" t="s">
        <v>241</v>
      </c>
      <c r="C8" s="574">
        <f>C6</f>
        <v>250</v>
      </c>
      <c r="D8" s="574">
        <f>D6</f>
        <v>1759.3333333333333</v>
      </c>
      <c r="E8" s="502">
        <f t="shared" si="0"/>
        <v>5278</v>
      </c>
      <c r="F8" s="484">
        <v>0</v>
      </c>
      <c r="G8" s="570">
        <v>0</v>
      </c>
      <c r="H8" s="571">
        <v>0</v>
      </c>
      <c r="I8" s="502">
        <v>233</v>
      </c>
      <c r="J8" s="484">
        <v>855</v>
      </c>
      <c r="K8" s="570">
        <v>152</v>
      </c>
      <c r="L8" s="571">
        <f>L6</f>
        <v>343</v>
      </c>
      <c r="M8" s="502">
        <f t="shared" si="1"/>
        <v>3945</v>
      </c>
      <c r="O8" s="640"/>
      <c r="P8" s="640"/>
      <c r="Q8" s="640"/>
    </row>
    <row r="9" spans="2:17" s="512" customFormat="1" ht="13.8">
      <c r="B9" s="483" t="s">
        <v>298</v>
      </c>
      <c r="C9" s="574">
        <v>250</v>
      </c>
      <c r="D9" s="574">
        <f>D8</f>
        <v>1759.3333333333333</v>
      </c>
      <c r="E9" s="502">
        <f t="shared" si="0"/>
        <v>5278</v>
      </c>
      <c r="F9" s="484">
        <v>0</v>
      </c>
      <c r="G9" s="570">
        <v>0</v>
      </c>
      <c r="H9" s="571">
        <v>0</v>
      </c>
      <c r="I9" s="502">
        <v>233</v>
      </c>
      <c r="J9" s="484">
        <v>855</v>
      </c>
      <c r="K9" s="570">
        <v>152</v>
      </c>
      <c r="L9" s="571">
        <f>L6</f>
        <v>343</v>
      </c>
      <c r="M9" s="502">
        <f t="shared" si="1"/>
        <v>3945</v>
      </c>
      <c r="O9" s="640"/>
      <c r="P9" s="640"/>
      <c r="Q9" s="640"/>
    </row>
    <row r="10" spans="2:17" s="512" customFormat="1" ht="13.8">
      <c r="B10" s="508"/>
      <c r="C10" s="574"/>
      <c r="D10" s="574"/>
      <c r="E10" s="484"/>
      <c r="F10" s="484"/>
      <c r="G10" s="570"/>
      <c r="H10" s="571"/>
      <c r="I10" s="502"/>
      <c r="J10" s="484"/>
      <c r="K10" s="570"/>
      <c r="L10" s="571"/>
      <c r="M10" s="502"/>
      <c r="O10" s="641"/>
      <c r="P10" s="641"/>
      <c r="Q10" s="641"/>
    </row>
    <row r="11" spans="2:17" s="512" customFormat="1" ht="13.8">
      <c r="C11" s="513"/>
      <c r="D11" s="513"/>
      <c r="E11" s="513"/>
      <c r="F11" s="513"/>
      <c r="H11" s="559"/>
      <c r="L11" s="559"/>
    </row>
    <row r="12" spans="2:17" s="512" customFormat="1" ht="15.6" customHeight="1">
      <c r="B12" s="637" t="s">
        <v>5</v>
      </c>
      <c r="C12" s="637" t="s">
        <v>210</v>
      </c>
      <c r="D12" s="637" t="s">
        <v>233</v>
      </c>
      <c r="E12" s="671" t="s">
        <v>245</v>
      </c>
      <c r="F12" s="686" t="s">
        <v>294</v>
      </c>
      <c r="G12" s="684" t="s">
        <v>208</v>
      </c>
      <c r="H12" s="672" t="s">
        <v>313</v>
      </c>
      <c r="I12" s="667" t="s">
        <v>209</v>
      </c>
      <c r="J12" s="631" t="s">
        <v>216</v>
      </c>
      <c r="K12" s="647" t="s">
        <v>217</v>
      </c>
      <c r="L12" s="672" t="s">
        <v>219</v>
      </c>
      <c r="M12" s="637" t="s">
        <v>265</v>
      </c>
      <c r="O12" s="637" t="s">
        <v>214</v>
      </c>
      <c r="P12" s="631" t="s">
        <v>215</v>
      </c>
      <c r="Q12" s="631" t="s">
        <v>230</v>
      </c>
    </row>
    <row r="13" spans="2:17" s="512" customFormat="1" ht="14.4" customHeight="1">
      <c r="B13" s="631"/>
      <c r="C13" s="637"/>
      <c r="D13" s="637"/>
      <c r="E13" s="671"/>
      <c r="F13" s="687"/>
      <c r="G13" s="684"/>
      <c r="H13" s="672"/>
      <c r="I13" s="667"/>
      <c r="J13" s="632"/>
      <c r="K13" s="648"/>
      <c r="L13" s="672"/>
      <c r="M13" s="637"/>
      <c r="O13" s="637"/>
      <c r="P13" s="632"/>
      <c r="Q13" s="632"/>
    </row>
    <row r="14" spans="2:17" s="512" customFormat="1" ht="26.4" customHeight="1" thickBot="1">
      <c r="B14" s="575" t="s">
        <v>202</v>
      </c>
      <c r="C14" s="637"/>
      <c r="D14" s="637"/>
      <c r="E14" s="671"/>
      <c r="F14" s="688"/>
      <c r="G14" s="684"/>
      <c r="H14" s="672"/>
      <c r="I14" s="667"/>
      <c r="J14" s="633"/>
      <c r="K14" s="649"/>
      <c r="L14" s="672"/>
      <c r="M14" s="637"/>
      <c r="O14" s="637"/>
      <c r="P14" s="633"/>
      <c r="Q14" s="633"/>
    </row>
    <row r="15" spans="2:17" s="512" customFormat="1" ht="15" thickTop="1" thickBot="1">
      <c r="B15" s="485" t="s">
        <v>280</v>
      </c>
      <c r="C15" s="568">
        <v>250</v>
      </c>
      <c r="D15" s="569">
        <f>O15/3</f>
        <v>1901.49</v>
      </c>
      <c r="E15" s="482">
        <f>D15*3</f>
        <v>5704.47</v>
      </c>
      <c r="F15" s="482">
        <v>1400</v>
      </c>
      <c r="G15" s="576">
        <v>0</v>
      </c>
      <c r="H15" s="578">
        <v>2</v>
      </c>
      <c r="I15" s="577">
        <v>0</v>
      </c>
      <c r="J15" s="482">
        <v>360</v>
      </c>
      <c r="K15" s="576">
        <v>0</v>
      </c>
      <c r="L15" s="578">
        <v>350</v>
      </c>
      <c r="M15" s="577">
        <f>C15+E15-F15-G15-H15-I15-J15-K15-L15</f>
        <v>3842.4700000000003</v>
      </c>
      <c r="O15" s="634">
        <v>5704.47</v>
      </c>
      <c r="P15" s="634">
        <v>5704.47</v>
      </c>
      <c r="Q15" s="634">
        <v>4851</v>
      </c>
    </row>
    <row r="16" spans="2:17" s="512" customFormat="1" ht="14.4" thickTop="1">
      <c r="B16" s="485" t="s">
        <v>240</v>
      </c>
      <c r="C16" s="574">
        <f>C15</f>
        <v>250</v>
      </c>
      <c r="D16" s="574">
        <f>D15</f>
        <v>1901.49</v>
      </c>
      <c r="E16" s="482">
        <f t="shared" ref="E16:E18" si="2">D16*3</f>
        <v>5704.47</v>
      </c>
      <c r="F16" s="482">
        <v>1050</v>
      </c>
      <c r="G16" s="576">
        <v>0</v>
      </c>
      <c r="H16" s="578">
        <v>2</v>
      </c>
      <c r="I16" s="577">
        <v>0</v>
      </c>
      <c r="J16" s="482">
        <v>360</v>
      </c>
      <c r="K16" s="576">
        <v>0</v>
      </c>
      <c r="L16" s="578">
        <f>L15</f>
        <v>350</v>
      </c>
      <c r="M16" s="577">
        <f t="shared" ref="M16:M18" si="3">C16+E16-F16-G16-H16-I16-J16-K16-L16</f>
        <v>4192.47</v>
      </c>
      <c r="O16" s="635"/>
      <c r="P16" s="635"/>
      <c r="Q16" s="635"/>
    </row>
    <row r="17" spans="2:27" s="512" customFormat="1" ht="13.8">
      <c r="B17" s="485" t="s">
        <v>241</v>
      </c>
      <c r="C17" s="574">
        <f>C15</f>
        <v>250</v>
      </c>
      <c r="D17" s="574">
        <f>D15</f>
        <v>1901.49</v>
      </c>
      <c r="E17" s="482">
        <f t="shared" si="2"/>
        <v>5704.47</v>
      </c>
      <c r="F17" s="482">
        <v>950</v>
      </c>
      <c r="G17" s="576">
        <v>0</v>
      </c>
      <c r="H17" s="578">
        <v>2</v>
      </c>
      <c r="I17" s="577">
        <v>0</v>
      </c>
      <c r="J17" s="482">
        <v>360</v>
      </c>
      <c r="K17" s="576">
        <v>0</v>
      </c>
      <c r="L17" s="578">
        <f>L15</f>
        <v>350</v>
      </c>
      <c r="M17" s="577">
        <f t="shared" si="3"/>
        <v>4292.47</v>
      </c>
      <c r="O17" s="635"/>
      <c r="P17" s="635"/>
      <c r="Q17" s="635"/>
    </row>
    <row r="18" spans="2:27" s="512" customFormat="1" ht="13.8">
      <c r="B18" s="485" t="s">
        <v>298</v>
      </c>
      <c r="C18" s="574">
        <v>250</v>
      </c>
      <c r="D18" s="574">
        <f>D17</f>
        <v>1901.49</v>
      </c>
      <c r="E18" s="482">
        <f t="shared" si="2"/>
        <v>5704.47</v>
      </c>
      <c r="F18" s="482">
        <v>0</v>
      </c>
      <c r="G18" s="576">
        <v>0</v>
      </c>
      <c r="H18" s="578">
        <v>2</v>
      </c>
      <c r="I18" s="577">
        <v>0</v>
      </c>
      <c r="J18" s="482">
        <v>360</v>
      </c>
      <c r="K18" s="576">
        <v>0</v>
      </c>
      <c r="L18" s="578">
        <f>L17</f>
        <v>350</v>
      </c>
      <c r="M18" s="577">
        <f t="shared" si="3"/>
        <v>5242.47</v>
      </c>
      <c r="O18" s="635"/>
      <c r="P18" s="635"/>
      <c r="Q18" s="635"/>
    </row>
    <row r="19" spans="2:27" s="512" customFormat="1" ht="13.8">
      <c r="B19" s="509"/>
      <c r="C19" s="574"/>
      <c r="D19" s="574"/>
      <c r="E19" s="482"/>
      <c r="F19" s="482"/>
      <c r="G19" s="576"/>
      <c r="H19" s="578"/>
      <c r="I19" s="577"/>
      <c r="J19" s="482"/>
      <c r="K19" s="576"/>
      <c r="L19" s="578"/>
      <c r="M19" s="577"/>
      <c r="O19" s="636"/>
      <c r="P19" s="636"/>
      <c r="Q19" s="636"/>
    </row>
    <row r="20" spans="2:27" s="512" customFormat="1" ht="13.8">
      <c r="C20" s="513"/>
      <c r="D20" s="513"/>
      <c r="E20" s="513"/>
      <c r="F20" s="513"/>
      <c r="H20" s="559"/>
      <c r="L20" s="559"/>
    </row>
    <row r="21" spans="2:27" s="512" customFormat="1" ht="15.6" customHeight="1">
      <c r="B21" s="627" t="s">
        <v>211</v>
      </c>
      <c r="C21" s="627" t="s">
        <v>210</v>
      </c>
      <c r="D21" s="627" t="s">
        <v>233</v>
      </c>
      <c r="E21" s="627" t="s">
        <v>245</v>
      </c>
      <c r="F21" s="681" t="s">
        <v>293</v>
      </c>
      <c r="G21" s="660" t="s">
        <v>208</v>
      </c>
      <c r="H21" s="678" t="s">
        <v>304</v>
      </c>
      <c r="I21" s="658" t="s">
        <v>209</v>
      </c>
      <c r="J21" s="627" t="s">
        <v>216</v>
      </c>
      <c r="K21" s="660" t="s">
        <v>217</v>
      </c>
      <c r="L21" s="661" t="s">
        <v>219</v>
      </c>
      <c r="M21" s="627" t="s">
        <v>265</v>
      </c>
      <c r="O21" s="627" t="s">
        <v>214</v>
      </c>
      <c r="P21" s="627" t="s">
        <v>215</v>
      </c>
      <c r="Q21" s="627" t="s">
        <v>275</v>
      </c>
    </row>
    <row r="22" spans="2:27" s="512" customFormat="1" ht="14.4" customHeight="1">
      <c r="B22" s="642"/>
      <c r="C22" s="627"/>
      <c r="D22" s="627"/>
      <c r="E22" s="627"/>
      <c r="F22" s="682"/>
      <c r="G22" s="660"/>
      <c r="H22" s="679"/>
      <c r="I22" s="658"/>
      <c r="J22" s="627"/>
      <c r="K22" s="660"/>
      <c r="L22" s="661"/>
      <c r="M22" s="627"/>
      <c r="O22" s="627"/>
      <c r="P22" s="627"/>
      <c r="Q22" s="627"/>
      <c r="R22" s="517"/>
      <c r="S22" s="517"/>
      <c r="T22" s="517"/>
      <c r="U22" s="517"/>
      <c r="V22" s="517"/>
      <c r="W22" s="517"/>
      <c r="X22" s="517"/>
      <c r="Y22" s="517"/>
      <c r="Z22" s="517"/>
      <c r="AA22" s="517"/>
    </row>
    <row r="23" spans="2:27" s="512" customFormat="1" ht="26.4" customHeight="1" thickBot="1">
      <c r="B23" s="580" t="s">
        <v>202</v>
      </c>
      <c r="C23" s="627"/>
      <c r="D23" s="627"/>
      <c r="E23" s="627"/>
      <c r="F23" s="683"/>
      <c r="G23" s="660"/>
      <c r="H23" s="680"/>
      <c r="I23" s="658"/>
      <c r="J23" s="627"/>
      <c r="K23" s="660"/>
      <c r="L23" s="661"/>
      <c r="M23" s="627"/>
      <c r="O23" s="627"/>
      <c r="P23" s="627"/>
      <c r="Q23" s="62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</row>
    <row r="24" spans="2:27" s="512" customFormat="1" ht="15" thickTop="1" thickBot="1">
      <c r="B24" s="486" t="s">
        <v>280</v>
      </c>
      <c r="C24" s="568">
        <v>250</v>
      </c>
      <c r="D24" s="569">
        <f>O24/3</f>
        <v>2116.0499999999997</v>
      </c>
      <c r="E24" s="489">
        <f>D24*3</f>
        <v>6348.15</v>
      </c>
      <c r="F24" s="489">
        <v>1650</v>
      </c>
      <c r="G24" s="581">
        <v>2000</v>
      </c>
      <c r="H24" s="582">
        <v>2</v>
      </c>
      <c r="I24" s="503">
        <v>0</v>
      </c>
      <c r="J24" s="489">
        <v>295</v>
      </c>
      <c r="K24" s="581">
        <v>0</v>
      </c>
      <c r="L24" s="582">
        <v>350</v>
      </c>
      <c r="M24" s="503">
        <f>C24+E24-F24-G24-H24-I24-J24-K24-L24</f>
        <v>2301.1499999999996</v>
      </c>
      <c r="O24" s="628">
        <v>6348.15</v>
      </c>
      <c r="P24" s="628">
        <v>6348.15</v>
      </c>
      <c r="Q24" s="628">
        <v>6000</v>
      </c>
      <c r="R24" s="517"/>
      <c r="S24" s="517"/>
      <c r="T24" s="517"/>
      <c r="U24" s="517"/>
      <c r="V24" s="517"/>
      <c r="W24" s="517"/>
      <c r="X24" s="517"/>
      <c r="Y24" s="517"/>
      <c r="Z24" s="517"/>
      <c r="AA24" s="517"/>
    </row>
    <row r="25" spans="2:27" s="512" customFormat="1" ht="14.4" thickTop="1">
      <c r="B25" s="486" t="s">
        <v>240</v>
      </c>
      <c r="C25" s="574">
        <f t="shared" ref="C25:C26" si="4">C24</f>
        <v>250</v>
      </c>
      <c r="D25" s="574">
        <f>D24</f>
        <v>2116.0499999999997</v>
      </c>
      <c r="E25" s="489">
        <f t="shared" ref="E25:E28" si="5">D25*3</f>
        <v>6348.15</v>
      </c>
      <c r="F25" s="489">
        <v>1300</v>
      </c>
      <c r="G25" s="581">
        <v>2000</v>
      </c>
      <c r="H25" s="582">
        <v>2</v>
      </c>
      <c r="I25" s="503">
        <v>0</v>
      </c>
      <c r="J25" s="489">
        <v>295</v>
      </c>
      <c r="K25" s="581">
        <v>0</v>
      </c>
      <c r="L25" s="582">
        <v>350</v>
      </c>
      <c r="M25" s="503">
        <f t="shared" ref="M25:M28" si="6">C25+E25-F25-G25-H25-I25-J25-K25-L25</f>
        <v>2651.1499999999996</v>
      </c>
      <c r="O25" s="629"/>
      <c r="P25" s="629"/>
      <c r="Q25" s="629"/>
    </row>
    <row r="26" spans="2:27" s="512" customFormat="1" ht="13.8">
      <c r="B26" s="486" t="s">
        <v>242</v>
      </c>
      <c r="C26" s="574">
        <f t="shared" si="4"/>
        <v>250</v>
      </c>
      <c r="D26" s="574">
        <f>D24</f>
        <v>2116.0499999999997</v>
      </c>
      <c r="E26" s="489">
        <f t="shared" si="5"/>
        <v>6348.15</v>
      </c>
      <c r="F26" s="489">
        <v>1200</v>
      </c>
      <c r="G26" s="581">
        <v>2000</v>
      </c>
      <c r="H26" s="582">
        <v>2</v>
      </c>
      <c r="I26" s="503">
        <v>0</v>
      </c>
      <c r="J26" s="489">
        <v>295</v>
      </c>
      <c r="K26" s="581">
        <v>0</v>
      </c>
      <c r="L26" s="582">
        <v>350</v>
      </c>
      <c r="M26" s="503">
        <f t="shared" si="6"/>
        <v>2751.1499999999996</v>
      </c>
      <c r="O26" s="629"/>
      <c r="P26" s="629"/>
      <c r="Q26" s="629"/>
    </row>
    <row r="27" spans="2:27" s="512" customFormat="1" ht="13.8">
      <c r="B27" s="486" t="s">
        <v>243</v>
      </c>
      <c r="C27" s="574">
        <v>250</v>
      </c>
      <c r="D27" s="574">
        <f>D26</f>
        <v>2116.0499999999997</v>
      </c>
      <c r="E27" s="489">
        <f t="shared" si="5"/>
        <v>6348.15</v>
      </c>
      <c r="F27" s="489">
        <v>1200</v>
      </c>
      <c r="G27" s="581">
        <v>0</v>
      </c>
      <c r="H27" s="582">
        <v>2</v>
      </c>
      <c r="I27" s="503">
        <v>0</v>
      </c>
      <c r="J27" s="489">
        <v>295</v>
      </c>
      <c r="K27" s="581">
        <v>0</v>
      </c>
      <c r="L27" s="582">
        <v>350</v>
      </c>
      <c r="M27" s="503">
        <f t="shared" si="6"/>
        <v>4751.1499999999996</v>
      </c>
      <c r="O27" s="629"/>
      <c r="P27" s="629"/>
      <c r="Q27" s="629"/>
    </row>
    <row r="28" spans="2:27" s="512" customFormat="1" ht="13.8">
      <c r="B28" s="486" t="s">
        <v>298</v>
      </c>
      <c r="C28" s="574">
        <v>250</v>
      </c>
      <c r="D28" s="574">
        <f>D26</f>
        <v>2116.0499999999997</v>
      </c>
      <c r="E28" s="489">
        <f t="shared" si="5"/>
        <v>6348.15</v>
      </c>
      <c r="F28" s="489">
        <v>0</v>
      </c>
      <c r="G28" s="581">
        <v>0</v>
      </c>
      <c r="H28" s="582">
        <v>2</v>
      </c>
      <c r="I28" s="503">
        <v>0</v>
      </c>
      <c r="J28" s="489">
        <v>295</v>
      </c>
      <c r="K28" s="581">
        <v>0</v>
      </c>
      <c r="L28" s="582">
        <v>350</v>
      </c>
      <c r="M28" s="503">
        <f t="shared" si="6"/>
        <v>5951.15</v>
      </c>
      <c r="O28" s="629"/>
      <c r="P28" s="629"/>
      <c r="Q28" s="629"/>
    </row>
    <row r="29" spans="2:27" s="512" customFormat="1" ht="13.8">
      <c r="B29" s="510"/>
      <c r="C29" s="574"/>
      <c r="D29" s="574"/>
      <c r="E29" s="489"/>
      <c r="F29" s="489"/>
      <c r="G29" s="581"/>
      <c r="H29" s="582"/>
      <c r="I29" s="503"/>
      <c r="J29" s="489"/>
      <c r="K29" s="581"/>
      <c r="L29" s="582"/>
      <c r="M29" s="503"/>
      <c r="O29" s="630"/>
      <c r="P29" s="630"/>
      <c r="Q29" s="630"/>
    </row>
    <row r="30" spans="2:27" s="512" customFormat="1" ht="13.8">
      <c r="C30" s="513"/>
      <c r="D30" s="513"/>
      <c r="E30" s="513"/>
      <c r="F30" s="513"/>
      <c r="H30" s="559"/>
      <c r="L30" s="559"/>
    </row>
    <row r="31" spans="2:27" s="512" customFormat="1" ht="15.6" customHeight="1">
      <c r="B31" s="624" t="s">
        <v>213</v>
      </c>
      <c r="C31" s="624" t="s">
        <v>210</v>
      </c>
      <c r="D31" s="624" t="s">
        <v>233</v>
      </c>
      <c r="E31" s="626" t="s">
        <v>245</v>
      </c>
      <c r="F31" s="626" t="s">
        <v>294</v>
      </c>
      <c r="G31" s="655" t="s">
        <v>208</v>
      </c>
      <c r="H31" s="622" t="s">
        <v>313</v>
      </c>
      <c r="I31" s="623" t="s">
        <v>209</v>
      </c>
      <c r="J31" s="624" t="s">
        <v>216</v>
      </c>
      <c r="K31" s="655" t="s">
        <v>217</v>
      </c>
      <c r="L31" s="622" t="s">
        <v>219</v>
      </c>
      <c r="M31" s="624" t="s">
        <v>265</v>
      </c>
      <c r="O31" s="624" t="s">
        <v>214</v>
      </c>
      <c r="P31" s="624" t="s">
        <v>215</v>
      </c>
      <c r="Q31" s="624" t="s">
        <v>275</v>
      </c>
    </row>
    <row r="32" spans="2:27" s="512" customFormat="1" ht="14.4" customHeight="1">
      <c r="B32" s="659"/>
      <c r="C32" s="624"/>
      <c r="D32" s="624"/>
      <c r="E32" s="626"/>
      <c r="F32" s="626"/>
      <c r="G32" s="655"/>
      <c r="H32" s="622"/>
      <c r="I32" s="623"/>
      <c r="J32" s="624"/>
      <c r="K32" s="655"/>
      <c r="L32" s="622"/>
      <c r="M32" s="624"/>
      <c r="O32" s="624"/>
      <c r="P32" s="624"/>
      <c r="Q32" s="624"/>
    </row>
    <row r="33" spans="2:17" s="512" customFormat="1" ht="26.4" customHeight="1" thickBot="1">
      <c r="B33" s="584" t="s">
        <v>202</v>
      </c>
      <c r="C33" s="624"/>
      <c r="D33" s="624"/>
      <c r="E33" s="626"/>
      <c r="F33" s="626"/>
      <c r="G33" s="655"/>
      <c r="H33" s="622"/>
      <c r="I33" s="623"/>
      <c r="J33" s="624"/>
      <c r="K33" s="655"/>
      <c r="L33" s="622"/>
      <c r="M33" s="624"/>
      <c r="O33" s="624"/>
      <c r="P33" s="624"/>
      <c r="Q33" s="624"/>
    </row>
    <row r="34" spans="2:17" s="512" customFormat="1" ht="15" thickTop="1" thickBot="1">
      <c r="B34" s="487" t="s">
        <v>280</v>
      </c>
      <c r="C34" s="568">
        <v>250</v>
      </c>
      <c r="D34" s="569">
        <f>O34/3</f>
        <v>2231.33</v>
      </c>
      <c r="E34" s="488">
        <f>D34*3</f>
        <v>6693.99</v>
      </c>
      <c r="F34" s="488">
        <v>2150</v>
      </c>
      <c r="G34" s="585">
        <v>2000</v>
      </c>
      <c r="H34" s="586">
        <v>2</v>
      </c>
      <c r="I34" s="504">
        <v>0</v>
      </c>
      <c r="J34" s="488">
        <v>227</v>
      </c>
      <c r="K34" s="585">
        <v>152</v>
      </c>
      <c r="L34" s="586">
        <v>350</v>
      </c>
      <c r="M34" s="504">
        <f>C34+E34-F34-G34-H34-I34-J34-K34-L34</f>
        <v>2062.9899999999998</v>
      </c>
      <c r="O34" s="616">
        <v>6693.99</v>
      </c>
      <c r="P34" s="616">
        <v>6693.99</v>
      </c>
      <c r="Q34" s="616">
        <v>6200</v>
      </c>
    </row>
    <row r="35" spans="2:17" s="512" customFormat="1" ht="14.4" thickTop="1">
      <c r="B35" s="487" t="s">
        <v>240</v>
      </c>
      <c r="C35" s="574">
        <v>250</v>
      </c>
      <c r="D35" s="574">
        <f>D34</f>
        <v>2231.33</v>
      </c>
      <c r="E35" s="488">
        <f t="shared" ref="E35:E38" si="7">D35*3</f>
        <v>6693.99</v>
      </c>
      <c r="F35" s="488">
        <v>1800</v>
      </c>
      <c r="G35" s="585">
        <v>2000</v>
      </c>
      <c r="H35" s="586">
        <v>2</v>
      </c>
      <c r="I35" s="504">
        <v>0</v>
      </c>
      <c r="J35" s="488">
        <v>227</v>
      </c>
      <c r="K35" s="585">
        <v>152</v>
      </c>
      <c r="L35" s="586">
        <v>350</v>
      </c>
      <c r="M35" s="504">
        <f t="shared" ref="M35:M38" si="8">C35+E35-F35-G35-H35-I35-J35-K35-L35</f>
        <v>2412.9899999999998</v>
      </c>
      <c r="O35" s="617"/>
      <c r="P35" s="617"/>
      <c r="Q35" s="617"/>
    </row>
    <row r="36" spans="2:17" s="512" customFormat="1" ht="13.8">
      <c r="B36" s="487" t="s">
        <v>242</v>
      </c>
      <c r="C36" s="574">
        <v>250</v>
      </c>
      <c r="D36" s="574">
        <f>D34</f>
        <v>2231.33</v>
      </c>
      <c r="E36" s="488">
        <f t="shared" si="7"/>
        <v>6693.99</v>
      </c>
      <c r="F36" s="488">
        <v>1400</v>
      </c>
      <c r="G36" s="585">
        <v>2000</v>
      </c>
      <c r="H36" s="586">
        <v>2</v>
      </c>
      <c r="I36" s="504">
        <v>0</v>
      </c>
      <c r="J36" s="488">
        <v>227</v>
      </c>
      <c r="K36" s="585">
        <v>152</v>
      </c>
      <c r="L36" s="586">
        <v>350</v>
      </c>
      <c r="M36" s="504">
        <f t="shared" si="8"/>
        <v>2812.99</v>
      </c>
      <c r="O36" s="617"/>
      <c r="P36" s="617"/>
      <c r="Q36" s="617"/>
    </row>
    <row r="37" spans="2:17" s="512" customFormat="1" ht="13.8">
      <c r="B37" s="487" t="s">
        <v>243</v>
      </c>
      <c r="C37" s="574">
        <v>250</v>
      </c>
      <c r="D37" s="574">
        <f>D36</f>
        <v>2231.33</v>
      </c>
      <c r="E37" s="488">
        <f t="shared" si="7"/>
        <v>6693.99</v>
      </c>
      <c r="F37" s="488">
        <v>1400</v>
      </c>
      <c r="G37" s="585">
        <v>0</v>
      </c>
      <c r="H37" s="586">
        <v>2</v>
      </c>
      <c r="I37" s="504">
        <v>0</v>
      </c>
      <c r="J37" s="488">
        <v>227</v>
      </c>
      <c r="K37" s="585">
        <v>152</v>
      </c>
      <c r="L37" s="586">
        <v>350</v>
      </c>
      <c r="M37" s="504">
        <f t="shared" si="8"/>
        <v>4812.99</v>
      </c>
      <c r="O37" s="617"/>
      <c r="P37" s="617"/>
      <c r="Q37" s="617"/>
    </row>
    <row r="38" spans="2:17" s="512" customFormat="1" ht="13.8">
      <c r="B38" s="487" t="s">
        <v>298</v>
      </c>
      <c r="C38" s="574">
        <v>250</v>
      </c>
      <c r="D38" s="574">
        <f>D37</f>
        <v>2231.33</v>
      </c>
      <c r="E38" s="488">
        <f t="shared" si="7"/>
        <v>6693.99</v>
      </c>
      <c r="F38" s="488">
        <v>0</v>
      </c>
      <c r="G38" s="585">
        <v>0</v>
      </c>
      <c r="H38" s="586">
        <v>2</v>
      </c>
      <c r="I38" s="504">
        <v>0</v>
      </c>
      <c r="J38" s="488">
        <v>227</v>
      </c>
      <c r="K38" s="585">
        <v>152</v>
      </c>
      <c r="L38" s="586">
        <v>350</v>
      </c>
      <c r="M38" s="504">
        <f t="shared" si="8"/>
        <v>6212.99</v>
      </c>
      <c r="O38" s="617"/>
      <c r="P38" s="617"/>
      <c r="Q38" s="617"/>
    </row>
    <row r="39" spans="2:17" s="512" customFormat="1" ht="14.4" thickBot="1">
      <c r="B39" s="511"/>
      <c r="C39" s="574"/>
      <c r="D39" s="574"/>
      <c r="E39" s="488"/>
      <c r="F39" s="488"/>
      <c r="G39" s="585"/>
      <c r="H39" s="588"/>
      <c r="I39" s="504"/>
      <c r="J39" s="488"/>
      <c r="K39" s="585"/>
      <c r="L39" s="588"/>
      <c r="M39" s="504"/>
      <c r="O39" s="618"/>
      <c r="P39" s="618"/>
      <c r="Q39" s="618"/>
    </row>
    <row r="40" spans="2:17" s="593" customFormat="1" ht="15" customHeight="1">
      <c r="B40" s="518" t="s">
        <v>281</v>
      </c>
      <c r="C40" s="501"/>
      <c r="D40" s="501"/>
      <c r="E40" s="501"/>
      <c r="F40" s="518"/>
      <c r="G40" s="501"/>
      <c r="H40" s="608"/>
      <c r="I40" s="501"/>
      <c r="J40" s="501"/>
      <c r="K40" s="501"/>
      <c r="L40" s="608"/>
      <c r="M40" s="501"/>
      <c r="O40" s="512"/>
      <c r="P40" s="512"/>
      <c r="Q40" s="512"/>
    </row>
    <row r="41" spans="2:17" s="593" customFormat="1" ht="15" customHeight="1">
      <c r="B41" s="518" t="s">
        <v>279</v>
      </c>
      <c r="C41" s="501"/>
      <c r="D41" s="501"/>
      <c r="E41" s="501"/>
      <c r="F41" s="518"/>
      <c r="G41" s="501"/>
      <c r="H41" s="608"/>
      <c r="I41" s="501"/>
      <c r="J41" s="501"/>
      <c r="K41" s="501"/>
      <c r="L41" s="608"/>
      <c r="M41" s="501"/>
      <c r="O41" s="519" t="s">
        <v>214</v>
      </c>
      <c r="P41" s="512"/>
      <c r="Q41" s="512"/>
    </row>
    <row r="42" spans="2:17" s="593" customFormat="1" ht="15" customHeight="1">
      <c r="B42" s="518" t="s">
        <v>322</v>
      </c>
      <c r="C42" s="589"/>
      <c r="D42" s="589"/>
      <c r="E42" s="589"/>
      <c r="F42" s="589"/>
      <c r="G42" s="589"/>
      <c r="H42" s="589"/>
      <c r="I42" s="589"/>
      <c r="J42" s="589"/>
      <c r="L42" s="594"/>
      <c r="O42" s="519" t="s">
        <v>276</v>
      </c>
      <c r="P42" s="512"/>
      <c r="Q42" s="512"/>
    </row>
    <row r="43" spans="2:17" s="512" customFormat="1" ht="15" customHeight="1">
      <c r="B43" s="512" t="s">
        <v>324</v>
      </c>
      <c r="C43" s="513"/>
      <c r="D43" s="513"/>
      <c r="E43" s="513"/>
      <c r="F43" s="513"/>
      <c r="L43" s="560"/>
      <c r="O43" s="590"/>
      <c r="P43" s="590"/>
      <c r="Q43" s="590"/>
    </row>
    <row r="44" spans="2:17" s="512" customFormat="1" ht="22.8" customHeight="1">
      <c r="C44" s="513"/>
      <c r="D44" s="513"/>
      <c r="E44" s="513"/>
      <c r="F44" s="513"/>
      <c r="H44" s="560"/>
      <c r="L44" s="560"/>
    </row>
    <row r="45" spans="2:17" s="512" customFormat="1" ht="13.8">
      <c r="B45" s="534" t="s">
        <v>272</v>
      </c>
      <c r="C45" s="619" t="s">
        <v>259</v>
      </c>
      <c r="D45" s="619"/>
      <c r="E45" s="620" t="s">
        <v>260</v>
      </c>
      <c r="F45" s="621"/>
      <c r="G45" s="535" t="s">
        <v>289</v>
      </c>
      <c r="H45" s="560"/>
      <c r="L45" s="560"/>
    </row>
    <row r="46" spans="2:17" s="512" customFormat="1" ht="13.8">
      <c r="B46" s="592" t="s">
        <v>277</v>
      </c>
      <c r="C46" s="536" t="s">
        <v>257</v>
      </c>
      <c r="D46" s="536" t="s">
        <v>258</v>
      </c>
      <c r="E46" s="537" t="s">
        <v>257</v>
      </c>
      <c r="F46" s="537" t="s">
        <v>258</v>
      </c>
      <c r="G46" s="538"/>
      <c r="H46" s="560"/>
      <c r="L46" s="560"/>
    </row>
    <row r="47" spans="2:17" s="512" customFormat="1" ht="6.6" customHeight="1">
      <c r="B47" s="592"/>
      <c r="C47" s="536"/>
      <c r="D47" s="536"/>
      <c r="E47" s="537"/>
      <c r="F47" s="537"/>
      <c r="G47" s="538"/>
      <c r="H47" s="560"/>
      <c r="L47" s="560"/>
    </row>
    <row r="48" spans="2:17" s="512" customFormat="1" ht="13.8">
      <c r="B48" s="539" t="s">
        <v>254</v>
      </c>
      <c r="C48" s="540">
        <v>1096</v>
      </c>
      <c r="D48" s="540">
        <v>66364</v>
      </c>
      <c r="E48" s="541">
        <v>534</v>
      </c>
      <c r="F48" s="541">
        <v>34156</v>
      </c>
      <c r="G48" s="542"/>
      <c r="H48" s="560"/>
      <c r="L48" s="560"/>
    </row>
    <row r="49" spans="2:15" s="512" customFormat="1" ht="13.8">
      <c r="B49" s="539" t="s">
        <v>26</v>
      </c>
      <c r="C49" s="540">
        <v>1267</v>
      </c>
      <c r="D49" s="540">
        <v>171768</v>
      </c>
      <c r="E49" s="541">
        <v>76</v>
      </c>
      <c r="F49" s="541">
        <v>11060</v>
      </c>
      <c r="G49" s="542"/>
      <c r="H49" s="560"/>
      <c r="L49" s="560"/>
    </row>
    <row r="50" spans="2:15" s="512" customFormat="1" ht="13.8">
      <c r="B50" s="539" t="s">
        <v>255</v>
      </c>
      <c r="C50" s="540">
        <v>526</v>
      </c>
      <c r="D50" s="540">
        <v>111932</v>
      </c>
      <c r="E50" s="541">
        <v>51</v>
      </c>
      <c r="F50" s="541">
        <v>6076</v>
      </c>
      <c r="G50" s="542"/>
      <c r="H50" s="560"/>
      <c r="L50" s="560"/>
    </row>
    <row r="51" spans="2:15" s="512" customFormat="1" ht="14.4" thickBot="1">
      <c r="B51" s="539" t="s">
        <v>256</v>
      </c>
      <c r="C51" s="543">
        <v>348</v>
      </c>
      <c r="D51" s="543">
        <v>175929</v>
      </c>
      <c r="E51" s="544">
        <v>59</v>
      </c>
      <c r="F51" s="544">
        <v>5321</v>
      </c>
      <c r="G51" s="542"/>
      <c r="H51" s="560"/>
      <c r="L51" s="560"/>
    </row>
    <row r="52" spans="2:15" s="512" customFormat="1" ht="14.4" thickTop="1">
      <c r="B52" s="545" t="s">
        <v>261</v>
      </c>
      <c r="C52" s="546">
        <f>SUM(C48:C51)</f>
        <v>3237</v>
      </c>
      <c r="D52" s="546">
        <f>SUM(D48:D51)</f>
        <v>525993</v>
      </c>
      <c r="E52" s="547">
        <f>SUM(E48:E51)</f>
        <v>720</v>
      </c>
      <c r="F52" s="547">
        <f>SUM(F48:F51)</f>
        <v>56613</v>
      </c>
      <c r="G52" s="548">
        <f>F52/(D52+F52)</f>
        <v>9.7172016766047725E-2</v>
      </c>
      <c r="H52" s="560"/>
      <c r="L52" s="560"/>
    </row>
    <row r="53" spans="2:15" s="512" customFormat="1" ht="13.8">
      <c r="B53" s="549"/>
      <c r="C53" s="550"/>
      <c r="D53" s="550"/>
      <c r="E53" s="550"/>
      <c r="F53" s="550"/>
      <c r="G53" s="551"/>
      <c r="H53" s="560"/>
      <c r="L53" s="560"/>
    </row>
    <row r="54" spans="2:15" s="512" customFormat="1" ht="13.8">
      <c r="C54" s="513"/>
      <c r="D54" s="513"/>
      <c r="E54" s="513"/>
      <c r="F54" s="513"/>
      <c r="H54" s="560"/>
      <c r="L54" s="560"/>
    </row>
    <row r="55" spans="2:15" s="512" customFormat="1">
      <c r="C55" s="513"/>
      <c r="D55" s="513"/>
      <c r="E55" s="513"/>
      <c r="F55" s="513"/>
      <c r="H55" s="560"/>
      <c r="L55" s="560"/>
      <c r="M55" s="515"/>
      <c r="O55" s="515"/>
    </row>
    <row r="56" spans="2:15" s="512" customFormat="1">
      <c r="C56" s="513"/>
      <c r="D56" s="513"/>
      <c r="E56" s="513"/>
      <c r="F56" s="513"/>
      <c r="H56" s="560"/>
      <c r="L56" s="560"/>
      <c r="M56" s="515"/>
      <c r="O56" s="515"/>
    </row>
    <row r="57" spans="2:15" s="512" customFormat="1">
      <c r="C57" s="513"/>
      <c r="D57" s="513"/>
      <c r="E57" s="513"/>
      <c r="F57" s="513"/>
      <c r="H57" s="560"/>
      <c r="L57" s="560"/>
      <c r="M57" s="515"/>
      <c r="O57" s="515"/>
    </row>
    <row r="58" spans="2:15" s="512" customFormat="1">
      <c r="C58" s="513"/>
      <c r="D58" s="513"/>
      <c r="E58" s="513"/>
      <c r="F58" s="513"/>
      <c r="H58" s="560"/>
      <c r="L58" s="560"/>
      <c r="M58" s="515"/>
      <c r="O58" s="515"/>
    </row>
    <row r="59" spans="2:15" s="512" customFormat="1">
      <c r="C59" s="513"/>
      <c r="D59" s="513"/>
      <c r="E59" s="513"/>
      <c r="F59" s="513"/>
      <c r="H59" s="560"/>
      <c r="L59" s="560"/>
      <c r="M59" s="515"/>
      <c r="O59" s="515"/>
    </row>
    <row r="60" spans="2:15" s="512" customFormat="1">
      <c r="C60" s="513"/>
      <c r="D60" s="513"/>
      <c r="E60" s="513"/>
      <c r="F60" s="513"/>
      <c r="H60" s="560"/>
      <c r="L60" s="560"/>
      <c r="M60" s="515"/>
      <c r="O60" s="515"/>
    </row>
    <row r="61" spans="2:15" s="512" customFormat="1">
      <c r="C61" s="513"/>
      <c r="D61" s="513"/>
      <c r="E61" s="513"/>
      <c r="F61" s="513"/>
      <c r="H61" s="560"/>
      <c r="L61" s="560"/>
      <c r="M61" s="515"/>
      <c r="O61" s="515"/>
    </row>
    <row r="62" spans="2:15" s="512" customFormat="1">
      <c r="C62" s="513"/>
      <c r="D62" s="513"/>
      <c r="E62" s="513"/>
      <c r="F62" s="513"/>
      <c r="H62" s="560"/>
      <c r="L62" s="560"/>
      <c r="M62" s="515"/>
      <c r="O62" s="515"/>
    </row>
    <row r="63" spans="2:15" s="512" customFormat="1">
      <c r="C63" s="513"/>
      <c r="D63" s="513"/>
      <c r="E63" s="513"/>
      <c r="F63" s="513"/>
      <c r="H63" s="560"/>
      <c r="L63" s="560"/>
      <c r="M63" s="515"/>
      <c r="O63" s="515"/>
    </row>
    <row r="64" spans="2:15" s="512" customFormat="1">
      <c r="C64" s="513"/>
      <c r="D64" s="513"/>
      <c r="E64" s="513"/>
      <c r="F64" s="513"/>
      <c r="H64" s="560"/>
      <c r="L64" s="560"/>
      <c r="M64" s="515"/>
      <c r="O64" s="515"/>
    </row>
    <row r="65" spans="3:15" s="512" customFormat="1">
      <c r="C65" s="513"/>
      <c r="D65" s="513"/>
      <c r="E65" s="513"/>
      <c r="F65" s="513"/>
      <c r="H65" s="560"/>
      <c r="L65" s="560"/>
      <c r="M65" s="515"/>
      <c r="O65" s="515"/>
    </row>
    <row r="66" spans="3:15" s="512" customFormat="1">
      <c r="C66" s="513"/>
      <c r="D66" s="513"/>
      <c r="E66" s="513"/>
      <c r="F66" s="513"/>
      <c r="H66" s="560"/>
      <c r="L66" s="560"/>
      <c r="M66" s="515"/>
      <c r="O66" s="515"/>
    </row>
    <row r="67" spans="3:15" s="512" customFormat="1">
      <c r="C67" s="513"/>
      <c r="D67" s="513"/>
      <c r="E67" s="513"/>
      <c r="F67" s="513"/>
      <c r="H67" s="560"/>
      <c r="L67" s="560"/>
      <c r="M67" s="515"/>
      <c r="O67" s="515"/>
    </row>
    <row r="68" spans="3:15" s="512" customFormat="1">
      <c r="C68" s="513"/>
      <c r="D68" s="513"/>
      <c r="E68" s="513"/>
      <c r="F68" s="513"/>
      <c r="H68" s="560"/>
      <c r="L68" s="560"/>
      <c r="M68" s="515"/>
      <c r="O68" s="515"/>
    </row>
    <row r="69" spans="3:15" s="512" customFormat="1">
      <c r="C69" s="513"/>
      <c r="D69" s="513"/>
      <c r="E69" s="513"/>
      <c r="F69" s="513"/>
      <c r="H69" s="560"/>
      <c r="L69" s="560"/>
      <c r="M69" s="515"/>
      <c r="O69" s="515"/>
    </row>
    <row r="70" spans="3:15" s="512" customFormat="1">
      <c r="C70" s="513"/>
      <c r="D70" s="513"/>
      <c r="E70" s="513"/>
      <c r="F70" s="513"/>
      <c r="H70" s="560"/>
      <c r="L70" s="560"/>
      <c r="M70" s="515"/>
      <c r="O70" s="515"/>
    </row>
    <row r="71" spans="3:15" s="512" customFormat="1">
      <c r="C71" s="513"/>
      <c r="D71" s="513"/>
      <c r="E71" s="513"/>
      <c r="F71" s="513"/>
      <c r="H71" s="560"/>
      <c r="L71" s="560"/>
      <c r="M71" s="515"/>
      <c r="O71" s="515"/>
    </row>
    <row r="72" spans="3:15" s="512" customFormat="1">
      <c r="C72" s="513"/>
      <c r="D72" s="513"/>
      <c r="E72" s="513"/>
      <c r="F72" s="513"/>
      <c r="H72" s="560"/>
      <c r="L72" s="560"/>
      <c r="M72" s="515"/>
      <c r="O72" s="515"/>
    </row>
    <row r="73" spans="3:15" s="512" customFormat="1">
      <c r="C73" s="513"/>
      <c r="D73" s="513"/>
      <c r="E73" s="513"/>
      <c r="F73" s="513"/>
      <c r="H73" s="560"/>
      <c r="L73" s="560"/>
      <c r="M73" s="515"/>
      <c r="O73" s="515"/>
    </row>
    <row r="74" spans="3:15" s="512" customFormat="1">
      <c r="C74" s="513"/>
      <c r="D74" s="513"/>
      <c r="E74" s="513"/>
      <c r="F74" s="513"/>
      <c r="H74" s="560"/>
      <c r="L74" s="560"/>
      <c r="M74" s="515"/>
      <c r="O74" s="515"/>
    </row>
    <row r="75" spans="3:15" s="512" customFormat="1">
      <c r="C75" s="513"/>
      <c r="D75" s="513"/>
      <c r="E75" s="513"/>
      <c r="F75" s="513"/>
      <c r="H75" s="560"/>
      <c r="L75" s="560"/>
      <c r="M75" s="515"/>
      <c r="O75" s="515"/>
    </row>
    <row r="76" spans="3:15" s="512" customFormat="1">
      <c r="C76" s="513"/>
      <c r="D76" s="513"/>
      <c r="E76" s="513"/>
      <c r="F76" s="513"/>
      <c r="H76" s="560"/>
      <c r="L76" s="560"/>
      <c r="M76" s="515"/>
      <c r="O76" s="515"/>
    </row>
    <row r="77" spans="3:15" s="512" customFormat="1">
      <c r="C77" s="513"/>
      <c r="D77" s="513"/>
      <c r="E77" s="513"/>
      <c r="F77" s="513"/>
      <c r="H77" s="560"/>
      <c r="L77" s="560"/>
      <c r="M77" s="515"/>
      <c r="O77" s="515"/>
    </row>
    <row r="78" spans="3:15" s="512" customFormat="1">
      <c r="C78" s="513"/>
      <c r="D78" s="513"/>
      <c r="E78" s="513"/>
      <c r="F78" s="513"/>
      <c r="H78" s="560"/>
      <c r="L78" s="560"/>
      <c r="M78" s="515"/>
      <c r="O78" s="515"/>
    </row>
    <row r="79" spans="3:15" s="512" customFormat="1">
      <c r="C79" s="513"/>
      <c r="D79" s="513"/>
      <c r="E79" s="513"/>
      <c r="F79" s="513"/>
      <c r="H79" s="560"/>
      <c r="L79" s="560"/>
      <c r="M79" s="515"/>
      <c r="O79" s="515"/>
    </row>
    <row r="80" spans="3:15" s="512" customFormat="1">
      <c r="C80" s="513"/>
      <c r="D80" s="513"/>
      <c r="E80" s="513"/>
      <c r="F80" s="513"/>
      <c r="H80" s="560"/>
      <c r="L80" s="560"/>
      <c r="M80" s="515"/>
      <c r="O80" s="515"/>
    </row>
    <row r="81" spans="3:15" s="512" customFormat="1">
      <c r="C81" s="513"/>
      <c r="D81" s="513"/>
      <c r="E81" s="513"/>
      <c r="F81" s="513"/>
      <c r="H81" s="560"/>
      <c r="L81" s="560"/>
      <c r="M81" s="515"/>
      <c r="O81" s="515"/>
    </row>
    <row r="82" spans="3:15" s="512" customFormat="1">
      <c r="C82" s="513"/>
      <c r="D82" s="513"/>
      <c r="E82" s="513"/>
      <c r="F82" s="513"/>
      <c r="H82" s="560"/>
      <c r="L82" s="560"/>
      <c r="M82" s="515"/>
      <c r="O82" s="515"/>
    </row>
    <row r="83" spans="3:15" s="512" customFormat="1">
      <c r="C83" s="513"/>
      <c r="D83" s="513"/>
      <c r="E83" s="513"/>
      <c r="F83" s="513"/>
      <c r="H83" s="560"/>
      <c r="L83" s="560"/>
      <c r="M83" s="515"/>
      <c r="O83" s="515"/>
    </row>
    <row r="84" spans="3:15" s="512" customFormat="1">
      <c r="C84" s="513"/>
      <c r="D84" s="513"/>
      <c r="E84" s="513"/>
      <c r="F84" s="513"/>
      <c r="H84" s="560"/>
      <c r="L84" s="560"/>
      <c r="M84" s="515"/>
      <c r="O84" s="515"/>
    </row>
    <row r="85" spans="3:15" s="512" customFormat="1">
      <c r="C85" s="513"/>
      <c r="D85" s="513"/>
      <c r="E85" s="513"/>
      <c r="F85" s="513"/>
      <c r="H85" s="560"/>
      <c r="L85" s="560"/>
      <c r="M85" s="515"/>
      <c r="O85" s="515"/>
    </row>
    <row r="86" spans="3:15" s="512" customFormat="1">
      <c r="C86" s="513"/>
      <c r="D86" s="513"/>
      <c r="E86" s="513"/>
      <c r="F86" s="513"/>
      <c r="H86" s="560"/>
      <c r="L86" s="560"/>
      <c r="M86" s="515"/>
      <c r="O86" s="515"/>
    </row>
    <row r="87" spans="3:15" s="512" customFormat="1">
      <c r="C87" s="513"/>
      <c r="D87" s="513"/>
      <c r="E87" s="513"/>
      <c r="F87" s="513"/>
      <c r="H87" s="560"/>
      <c r="L87" s="560"/>
      <c r="M87" s="515"/>
      <c r="O87" s="515"/>
    </row>
    <row r="88" spans="3:15" s="512" customFormat="1">
      <c r="C88" s="513"/>
      <c r="D88" s="513"/>
      <c r="E88" s="513"/>
      <c r="F88" s="513"/>
      <c r="H88" s="560"/>
      <c r="L88" s="560"/>
      <c r="M88" s="515"/>
      <c r="O88" s="515"/>
    </row>
    <row r="89" spans="3:15" s="512" customFormat="1">
      <c r="C89" s="513"/>
      <c r="D89" s="513"/>
      <c r="E89" s="513"/>
      <c r="F89" s="513"/>
      <c r="H89" s="560"/>
      <c r="L89" s="560"/>
      <c r="M89" s="515"/>
      <c r="O89" s="515"/>
    </row>
    <row r="90" spans="3:15" s="512" customFormat="1">
      <c r="C90" s="513"/>
      <c r="D90" s="513"/>
      <c r="E90" s="513"/>
      <c r="F90" s="513"/>
      <c r="H90" s="560"/>
      <c r="L90" s="560"/>
      <c r="M90" s="515"/>
      <c r="O90" s="515"/>
    </row>
    <row r="91" spans="3:15" s="512" customFormat="1">
      <c r="C91" s="513"/>
      <c r="D91" s="513"/>
      <c r="E91" s="513"/>
      <c r="F91" s="513"/>
      <c r="H91" s="560"/>
      <c r="L91" s="560"/>
      <c r="M91" s="515"/>
      <c r="O91" s="515"/>
    </row>
    <row r="92" spans="3:15" s="512" customFormat="1">
      <c r="C92" s="513"/>
      <c r="D92" s="513"/>
      <c r="E92" s="513"/>
      <c r="F92" s="513"/>
      <c r="H92" s="560"/>
      <c r="L92" s="560"/>
      <c r="M92" s="515"/>
      <c r="O92" s="515"/>
    </row>
    <row r="93" spans="3:15" s="512" customFormat="1">
      <c r="C93" s="513"/>
      <c r="D93" s="513"/>
      <c r="E93" s="513"/>
      <c r="F93" s="513"/>
      <c r="H93" s="560"/>
      <c r="L93" s="560"/>
      <c r="M93" s="515"/>
      <c r="O93" s="515"/>
    </row>
    <row r="94" spans="3:15" s="512" customFormat="1">
      <c r="C94" s="513"/>
      <c r="D94" s="513"/>
      <c r="E94" s="513"/>
      <c r="F94" s="513"/>
      <c r="H94" s="560"/>
      <c r="L94" s="560"/>
      <c r="M94" s="515"/>
      <c r="O94" s="515"/>
    </row>
    <row r="95" spans="3:15" s="512" customFormat="1">
      <c r="C95" s="513"/>
      <c r="D95" s="513"/>
      <c r="E95" s="513"/>
      <c r="F95" s="513"/>
      <c r="H95" s="560"/>
      <c r="L95" s="560"/>
      <c r="M95" s="515"/>
      <c r="O95" s="515"/>
    </row>
    <row r="96" spans="3:15" s="512" customFormat="1">
      <c r="C96" s="513"/>
      <c r="D96" s="513"/>
      <c r="E96" s="513"/>
      <c r="F96" s="513"/>
      <c r="H96" s="560"/>
      <c r="L96" s="560"/>
      <c r="M96" s="515"/>
      <c r="O96" s="515"/>
    </row>
    <row r="97" spans="3:15" s="512" customFormat="1">
      <c r="C97" s="513"/>
      <c r="D97" s="513"/>
      <c r="E97" s="513"/>
      <c r="F97" s="513"/>
      <c r="H97" s="560"/>
      <c r="L97" s="560"/>
      <c r="M97" s="515"/>
      <c r="O97" s="515"/>
    </row>
    <row r="98" spans="3:15" s="512" customFormat="1">
      <c r="C98" s="513"/>
      <c r="D98" s="513"/>
      <c r="E98" s="513"/>
      <c r="F98" s="513"/>
      <c r="H98" s="560"/>
      <c r="L98" s="560"/>
      <c r="M98" s="515"/>
      <c r="O98" s="515"/>
    </row>
    <row r="99" spans="3:15" s="512" customFormat="1">
      <c r="C99" s="513"/>
      <c r="D99" s="513"/>
      <c r="E99" s="513"/>
      <c r="F99" s="513"/>
      <c r="H99" s="560"/>
      <c r="L99" s="560"/>
      <c r="M99" s="515"/>
      <c r="O99" s="515"/>
    </row>
    <row r="100" spans="3:15" s="512" customFormat="1">
      <c r="C100" s="513"/>
      <c r="D100" s="513"/>
      <c r="E100" s="513"/>
      <c r="F100" s="513"/>
      <c r="H100" s="560"/>
      <c r="L100" s="560"/>
      <c r="M100" s="515"/>
      <c r="O100" s="515"/>
    </row>
    <row r="101" spans="3:15" s="512" customFormat="1">
      <c r="C101" s="513"/>
      <c r="D101" s="513"/>
      <c r="E101" s="513"/>
      <c r="F101" s="513"/>
      <c r="H101" s="560"/>
      <c r="L101" s="560"/>
      <c r="M101" s="515"/>
      <c r="O101" s="515"/>
    </row>
    <row r="102" spans="3:15" s="512" customFormat="1">
      <c r="C102" s="513"/>
      <c r="D102" s="513"/>
      <c r="E102" s="513"/>
      <c r="F102" s="513"/>
      <c r="H102" s="560"/>
      <c r="L102" s="560"/>
      <c r="M102" s="515"/>
      <c r="O102" s="515"/>
    </row>
    <row r="103" spans="3:15" s="512" customFormat="1">
      <c r="C103" s="513"/>
      <c r="D103" s="513"/>
      <c r="E103" s="513"/>
      <c r="F103" s="513"/>
      <c r="H103" s="560"/>
      <c r="L103" s="560"/>
      <c r="M103" s="515"/>
      <c r="O103" s="515"/>
    </row>
    <row r="104" spans="3:15" s="512" customFormat="1">
      <c r="C104" s="513"/>
      <c r="D104" s="513"/>
      <c r="E104" s="513"/>
      <c r="F104" s="513"/>
      <c r="H104" s="560"/>
      <c r="L104" s="560"/>
      <c r="M104" s="515"/>
      <c r="O104" s="515"/>
    </row>
    <row r="105" spans="3:15" s="512" customFormat="1">
      <c r="C105" s="513"/>
      <c r="D105" s="513"/>
      <c r="E105" s="513"/>
      <c r="F105" s="513"/>
      <c r="H105" s="560"/>
      <c r="L105" s="560"/>
      <c r="M105" s="515"/>
      <c r="O105" s="515"/>
    </row>
    <row r="106" spans="3:15" s="512" customFormat="1">
      <c r="C106" s="513"/>
      <c r="D106" s="513"/>
      <c r="E106" s="513"/>
      <c r="F106" s="513"/>
      <c r="H106" s="560"/>
      <c r="L106" s="560"/>
      <c r="M106" s="515"/>
      <c r="O106" s="515"/>
    </row>
    <row r="107" spans="3:15" s="512" customFormat="1">
      <c r="C107" s="513"/>
      <c r="D107" s="513"/>
      <c r="E107" s="513"/>
      <c r="F107" s="513"/>
      <c r="H107" s="560"/>
      <c r="L107" s="560"/>
      <c r="M107" s="515"/>
      <c r="O107" s="515"/>
    </row>
    <row r="108" spans="3:15" s="512" customFormat="1">
      <c r="C108" s="513"/>
      <c r="D108" s="513"/>
      <c r="E108" s="513"/>
      <c r="F108" s="513"/>
      <c r="H108" s="560"/>
      <c r="L108" s="560"/>
      <c r="M108" s="515"/>
      <c r="O108" s="515"/>
    </row>
    <row r="109" spans="3:15" s="512" customFormat="1">
      <c r="C109" s="513"/>
      <c r="D109" s="513"/>
      <c r="E109" s="513"/>
      <c r="F109" s="513"/>
      <c r="H109" s="560"/>
      <c r="L109" s="560"/>
      <c r="M109" s="515"/>
      <c r="O109" s="515"/>
    </row>
    <row r="110" spans="3:15" s="512" customFormat="1">
      <c r="C110" s="513"/>
      <c r="D110" s="513"/>
      <c r="E110" s="513"/>
      <c r="F110" s="513"/>
      <c r="H110" s="560"/>
      <c r="L110" s="560"/>
      <c r="M110" s="515"/>
      <c r="O110" s="515"/>
    </row>
    <row r="111" spans="3:15" s="512" customFormat="1">
      <c r="C111" s="513"/>
      <c r="D111" s="513"/>
      <c r="E111" s="513"/>
      <c r="F111" s="513"/>
      <c r="H111" s="560"/>
      <c r="L111" s="560"/>
      <c r="M111" s="515"/>
      <c r="O111" s="515"/>
    </row>
    <row r="112" spans="3:15" s="512" customFormat="1">
      <c r="C112" s="513"/>
      <c r="D112" s="513"/>
      <c r="E112" s="513"/>
      <c r="F112" s="513"/>
      <c r="H112" s="560"/>
      <c r="L112" s="560"/>
      <c r="M112" s="515"/>
      <c r="O112" s="515"/>
    </row>
    <row r="113" spans="3:15" s="512" customFormat="1">
      <c r="C113" s="513"/>
      <c r="D113" s="513"/>
      <c r="E113" s="513"/>
      <c r="F113" s="513"/>
      <c r="H113" s="560"/>
      <c r="L113" s="560"/>
      <c r="M113" s="515"/>
      <c r="O113" s="515"/>
    </row>
    <row r="114" spans="3:15" s="512" customFormat="1">
      <c r="C114" s="513"/>
      <c r="D114" s="513"/>
      <c r="E114" s="513"/>
      <c r="F114" s="513"/>
      <c r="H114" s="560"/>
      <c r="L114" s="560"/>
      <c r="M114" s="515"/>
      <c r="O114" s="515"/>
    </row>
    <row r="115" spans="3:15" s="512" customFormat="1">
      <c r="C115" s="513"/>
      <c r="D115" s="513"/>
      <c r="E115" s="513"/>
      <c r="F115" s="513"/>
      <c r="H115" s="560"/>
      <c r="L115" s="560"/>
      <c r="M115" s="515"/>
      <c r="O115" s="515"/>
    </row>
    <row r="116" spans="3:15" s="512" customFormat="1">
      <c r="C116" s="513"/>
      <c r="D116" s="513"/>
      <c r="E116" s="513"/>
      <c r="F116" s="513"/>
      <c r="H116" s="560"/>
      <c r="L116" s="560"/>
      <c r="M116" s="515"/>
      <c r="O116" s="515"/>
    </row>
    <row r="117" spans="3:15" s="512" customFormat="1">
      <c r="C117" s="513"/>
      <c r="D117" s="513"/>
      <c r="E117" s="513"/>
      <c r="F117" s="513"/>
      <c r="H117" s="560"/>
      <c r="L117" s="560"/>
      <c r="M117" s="515"/>
      <c r="O117" s="515"/>
    </row>
    <row r="118" spans="3:15" s="512" customFormat="1">
      <c r="C118" s="513"/>
      <c r="D118" s="513"/>
      <c r="E118" s="513"/>
      <c r="F118" s="513"/>
      <c r="H118" s="560"/>
      <c r="L118" s="560"/>
      <c r="M118" s="515"/>
      <c r="O118" s="515"/>
    </row>
    <row r="119" spans="3:15" s="512" customFormat="1">
      <c r="C119" s="513"/>
      <c r="D119" s="513"/>
      <c r="E119" s="513"/>
      <c r="F119" s="513"/>
      <c r="H119" s="560"/>
      <c r="L119" s="560"/>
      <c r="M119" s="515"/>
      <c r="O119" s="515"/>
    </row>
  </sheetData>
  <mergeCells count="75">
    <mergeCell ref="B2:D2"/>
    <mergeCell ref="B3:B4"/>
    <mergeCell ref="C3:C5"/>
    <mergeCell ref="D3:D5"/>
    <mergeCell ref="E3:E5"/>
    <mergeCell ref="B12:B13"/>
    <mergeCell ref="C12:C14"/>
    <mergeCell ref="D12:D14"/>
    <mergeCell ref="E12:E14"/>
    <mergeCell ref="F12:F14"/>
    <mergeCell ref="I3:I5"/>
    <mergeCell ref="J3:J5"/>
    <mergeCell ref="K3:K5"/>
    <mergeCell ref="L3:L5"/>
    <mergeCell ref="M3:M5"/>
    <mergeCell ref="K12:K14"/>
    <mergeCell ref="L12:L14"/>
    <mergeCell ref="I12:I14"/>
    <mergeCell ref="J12:J14"/>
    <mergeCell ref="M12:M14"/>
    <mergeCell ref="I21:I23"/>
    <mergeCell ref="J21:J23"/>
    <mergeCell ref="K21:K23"/>
    <mergeCell ref="L21:L23"/>
    <mergeCell ref="M21:M23"/>
    <mergeCell ref="O12:O14"/>
    <mergeCell ref="P12:P14"/>
    <mergeCell ref="Q12:Q14"/>
    <mergeCell ref="O15:O19"/>
    <mergeCell ref="P15:P19"/>
    <mergeCell ref="Q15:Q19"/>
    <mergeCell ref="O3:O5"/>
    <mergeCell ref="P3:P5"/>
    <mergeCell ref="Q3:Q5"/>
    <mergeCell ref="O6:O10"/>
    <mergeCell ref="P6:P10"/>
    <mergeCell ref="Q6:Q10"/>
    <mergeCell ref="C45:D45"/>
    <mergeCell ref="E45:F45"/>
    <mergeCell ref="F31:F33"/>
    <mergeCell ref="O24:O29"/>
    <mergeCell ref="P24:P29"/>
    <mergeCell ref="G31:G33"/>
    <mergeCell ref="I31:I33"/>
    <mergeCell ref="J31:J33"/>
    <mergeCell ref="K31:K33"/>
    <mergeCell ref="L31:L33"/>
    <mergeCell ref="M31:M33"/>
    <mergeCell ref="O31:O33"/>
    <mergeCell ref="P31:P33"/>
    <mergeCell ref="H3:H5"/>
    <mergeCell ref="H12:H14"/>
    <mergeCell ref="H21:H23"/>
    <mergeCell ref="H31:H33"/>
    <mergeCell ref="F21:F23"/>
    <mergeCell ref="G21:G23"/>
    <mergeCell ref="G12:G14"/>
    <mergeCell ref="G3:G5"/>
    <mergeCell ref="F3:F5"/>
    <mergeCell ref="Q31:Q33"/>
    <mergeCell ref="O34:O39"/>
    <mergeCell ref="P34:P39"/>
    <mergeCell ref="Q34:Q39"/>
    <mergeCell ref="B21:B22"/>
    <mergeCell ref="C21:C23"/>
    <mergeCell ref="D21:D23"/>
    <mergeCell ref="E21:E23"/>
    <mergeCell ref="B31:B32"/>
    <mergeCell ref="C31:C33"/>
    <mergeCell ref="D31:D33"/>
    <mergeCell ref="E31:E33"/>
    <mergeCell ref="O21:O23"/>
    <mergeCell ref="P21:P23"/>
    <mergeCell ref="Q21:Q23"/>
    <mergeCell ref="Q24:Q29"/>
  </mergeCells>
  <hyperlinks>
    <hyperlink ref="O41" r:id="rId1"/>
    <hyperlink ref="O42" r:id="rId2"/>
    <hyperlink ref="F3:F5" r:id="rId3" display="Voucher Scuola - Regione PIEMONTE"/>
    <hyperlink ref="F12:F14" r:id="rId4" display="Voucher Scuola -  Regione PIEMONTE"/>
    <hyperlink ref="F21:F23" r:id="rId5" display="Voucher Scuola - Regione PIEMONTE"/>
    <hyperlink ref="F31:F33" r:id="rId6" display="Voucher Scuola -  Regione PIEMONTE"/>
    <hyperlink ref="E3:E5" r:id="rId7" display="Retta annuale CMS *"/>
    <hyperlink ref="E12:E14" r:id="rId8" display="Retta annuale CMS *"/>
    <hyperlink ref="E21:E23" r:id="rId9" display="Retta annuale CMS *"/>
    <hyperlink ref="E31:E33" r:id="rId10" display="Retta annuale CMS *"/>
    <hyperlink ref="J3:J5" r:id="rId11" display="Contributi Ministeriali"/>
    <hyperlink ref="K3:K5" r:id="rId12" display="Detrazione del 19% IRPEF"/>
    <hyperlink ref="L12:L14" r:id="rId13" display="Contributo emergenza covid_120Mln"/>
    <hyperlink ref="L21:L23" r:id="rId14" display="Contributo emergenza covid_120Mln"/>
    <hyperlink ref="L3:L5" r:id="rId15" display="Contributo emergenza covid_180Mln"/>
  </hyperlinks>
  <pageMargins left="0.7" right="0.7" top="0.75" bottom="0.75" header="0.3" footer="0.3"/>
  <pageSetup paperSize="9" orientation="portrait"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57"/>
  <sheetViews>
    <sheetView topLeftCell="B31" zoomScale="97" zoomScaleNormal="97" workbookViewId="0">
      <selection activeCell="J45" sqref="J45"/>
    </sheetView>
  </sheetViews>
  <sheetFormatPr defaultRowHeight="15.6"/>
  <cols>
    <col min="1" max="1" width="1.5546875" customWidth="1"/>
    <col min="2" max="2" width="20.21875" customWidth="1"/>
    <col min="3" max="3" width="18.5546875" style="2" customWidth="1"/>
    <col min="4" max="4" width="15.44140625" style="2" customWidth="1"/>
    <col min="5" max="5" width="13.6640625" style="2" customWidth="1"/>
    <col min="6" max="6" width="18.109375" style="2" customWidth="1"/>
    <col min="7" max="7" width="18.5546875" style="2" customWidth="1"/>
    <col min="8" max="8" width="12.44140625" customWidth="1"/>
    <col min="9" max="9" width="18.44140625" customWidth="1"/>
    <col min="10" max="10" width="15" customWidth="1"/>
    <col min="11" max="12" width="11.6640625" customWidth="1"/>
    <col min="13" max="13" width="20" customWidth="1"/>
    <col min="14" max="14" width="14.6640625" style="499" customWidth="1"/>
    <col min="15" max="15" width="15.6640625" style="66" customWidth="1"/>
    <col min="16" max="16" width="1.77734375" style="491" customWidth="1"/>
    <col min="17" max="17" width="15.6640625" style="66" customWidth="1"/>
    <col min="18" max="18" width="15.6640625" hidden="1" customWidth="1"/>
    <col min="19" max="19" width="18" customWidth="1"/>
  </cols>
  <sheetData>
    <row r="1" spans="2:19" ht="33" customHeight="1" thickBot="1">
      <c r="E1" s="601"/>
      <c r="F1" s="601"/>
      <c r="G1" s="498" t="s">
        <v>239</v>
      </c>
      <c r="H1" s="602"/>
      <c r="I1" s="602"/>
      <c r="O1" s="495" t="s">
        <v>220</v>
      </c>
    </row>
    <row r="2" spans="2:19" ht="28.2" customHeight="1">
      <c r="B2" s="676" t="s">
        <v>248</v>
      </c>
      <c r="C2" s="677"/>
      <c r="D2" s="677"/>
      <c r="E2" s="506" t="s">
        <v>148</v>
      </c>
      <c r="F2" s="496">
        <f>4641/12</f>
        <v>386.75</v>
      </c>
      <c r="G2" s="496"/>
      <c r="I2" s="500" t="s">
        <v>264</v>
      </c>
      <c r="J2" s="498"/>
      <c r="K2" s="506" t="s">
        <v>278</v>
      </c>
      <c r="L2" s="506" t="s">
        <v>150</v>
      </c>
      <c r="M2" s="500" t="s">
        <v>264</v>
      </c>
      <c r="N2" s="604"/>
      <c r="O2" s="506" t="s">
        <v>152</v>
      </c>
    </row>
    <row r="3" spans="2:19" s="512" customFormat="1" ht="15" customHeight="1">
      <c r="B3" s="638" t="s">
        <v>4</v>
      </c>
      <c r="C3" s="638" t="s">
        <v>210</v>
      </c>
      <c r="D3" s="638" t="s">
        <v>231</v>
      </c>
      <c r="E3" s="638" t="s">
        <v>249</v>
      </c>
      <c r="F3" s="638" t="s">
        <v>251</v>
      </c>
      <c r="G3" s="691" t="s">
        <v>252</v>
      </c>
      <c r="H3" s="685" t="s">
        <v>208</v>
      </c>
      <c r="I3" s="665" t="s">
        <v>314</v>
      </c>
      <c r="J3" s="666" t="s">
        <v>303</v>
      </c>
      <c r="K3" s="643" t="s">
        <v>216</v>
      </c>
      <c r="L3" s="644" t="s">
        <v>217</v>
      </c>
      <c r="M3" s="645" t="s">
        <v>218</v>
      </c>
      <c r="N3" s="646" t="s">
        <v>250</v>
      </c>
      <c r="O3" s="638" t="s">
        <v>212</v>
      </c>
      <c r="P3" s="492"/>
      <c r="Q3" s="638" t="s">
        <v>214</v>
      </c>
      <c r="R3" s="638" t="s">
        <v>215</v>
      </c>
      <c r="S3" s="638" t="s">
        <v>275</v>
      </c>
    </row>
    <row r="4" spans="2:19" s="512" customFormat="1" ht="13.8" customHeight="1">
      <c r="B4" s="653"/>
      <c r="C4" s="638"/>
      <c r="D4" s="638"/>
      <c r="E4" s="638"/>
      <c r="F4" s="638"/>
      <c r="G4" s="691"/>
      <c r="H4" s="685"/>
      <c r="I4" s="665"/>
      <c r="J4" s="666"/>
      <c r="K4" s="643"/>
      <c r="L4" s="644"/>
      <c r="M4" s="645"/>
      <c r="N4" s="646"/>
      <c r="O4" s="638"/>
      <c r="P4" s="492"/>
      <c r="Q4" s="638"/>
      <c r="R4" s="638"/>
      <c r="S4" s="638"/>
    </row>
    <row r="5" spans="2:19" s="512" customFormat="1" ht="54" customHeight="1" thickBot="1">
      <c r="B5" s="567" t="s">
        <v>202</v>
      </c>
      <c r="C5" s="653"/>
      <c r="D5" s="653"/>
      <c r="E5" s="638"/>
      <c r="F5" s="638"/>
      <c r="G5" s="691"/>
      <c r="H5" s="685"/>
      <c r="I5" s="665"/>
      <c r="J5" s="666"/>
      <c r="K5" s="643"/>
      <c r="L5" s="644"/>
      <c r="M5" s="645"/>
      <c r="N5" s="646"/>
      <c r="O5" s="638"/>
      <c r="P5" s="492"/>
      <c r="Q5" s="638"/>
      <c r="R5" s="638"/>
      <c r="S5" s="638"/>
    </row>
    <row r="6" spans="2:19" s="512" customFormat="1" ht="19.5" customHeight="1" thickTop="1" thickBot="1">
      <c r="B6" s="490" t="s">
        <v>203</v>
      </c>
      <c r="C6" s="568">
        <v>250</v>
      </c>
      <c r="D6" s="569">
        <f>Q6/3</f>
        <v>1759.3333333333333</v>
      </c>
      <c r="E6" s="502">
        <f>D6*3</f>
        <v>5278</v>
      </c>
      <c r="F6" s="484">
        <f>900/17</f>
        <v>52.941176470588232</v>
      </c>
      <c r="G6" s="607">
        <f>200/17</f>
        <v>11.764705882352942</v>
      </c>
      <c r="H6" s="570">
        <v>0</v>
      </c>
      <c r="I6" s="571">
        <v>0</v>
      </c>
      <c r="J6" s="502">
        <v>9</v>
      </c>
      <c r="K6" s="484">
        <v>855</v>
      </c>
      <c r="L6" s="570">
        <v>152</v>
      </c>
      <c r="M6" s="571">
        <f>'SCUOLE IN LOMBARDIA'!H6</f>
        <v>343.49112934158478</v>
      </c>
      <c r="N6" s="572">
        <v>120</v>
      </c>
      <c r="O6" s="484">
        <f>C6+E6-F6-G6-H6-I6-J6-K6-L6-M6-N6</f>
        <v>3983.8029883054742</v>
      </c>
      <c r="P6" s="493"/>
      <c r="Q6" s="639">
        <v>5278</v>
      </c>
      <c r="R6" s="639">
        <v>5278.41</v>
      </c>
      <c r="S6" s="639">
        <v>4500</v>
      </c>
    </row>
    <row r="7" spans="2:19" s="512" customFormat="1" ht="19.5" customHeight="1" thickTop="1">
      <c r="B7" s="483" t="s">
        <v>204</v>
      </c>
      <c r="C7" s="573">
        <f>C6</f>
        <v>250</v>
      </c>
      <c r="D7" s="573">
        <f>D6</f>
        <v>1759.3333333333333</v>
      </c>
      <c r="E7" s="502">
        <f t="shared" ref="E7:E11" si="0">D7*3</f>
        <v>5278</v>
      </c>
      <c r="F7" s="484">
        <f>F6</f>
        <v>52.941176470588232</v>
      </c>
      <c r="G7" s="607">
        <f>G6</f>
        <v>11.764705882352942</v>
      </c>
      <c r="H7" s="570">
        <v>0</v>
      </c>
      <c r="I7" s="571">
        <v>0</v>
      </c>
      <c r="J7" s="502">
        <v>9</v>
      </c>
      <c r="K7" s="484">
        <v>855</v>
      </c>
      <c r="L7" s="570">
        <v>152</v>
      </c>
      <c r="M7" s="571">
        <f>'SCUOLE IN LOMBARDIA'!H6</f>
        <v>343.49112934158478</v>
      </c>
      <c r="N7" s="572">
        <v>120</v>
      </c>
      <c r="O7" s="484">
        <f t="shared" ref="O7:O11" si="1">C7+E7-F7-G7-H7-I7-J7-K7-L7-M7-N7</f>
        <v>3983.8029883054742</v>
      </c>
      <c r="P7" s="493"/>
      <c r="Q7" s="640"/>
      <c r="R7" s="640"/>
      <c r="S7" s="640"/>
    </row>
    <row r="8" spans="2:19" s="512" customFormat="1" ht="19.5" customHeight="1">
      <c r="B8" s="483" t="s">
        <v>206</v>
      </c>
      <c r="C8" s="574">
        <f>C6</f>
        <v>250</v>
      </c>
      <c r="D8" s="574">
        <f>D6</f>
        <v>1759.3333333333333</v>
      </c>
      <c r="E8" s="502">
        <f t="shared" si="0"/>
        <v>5278</v>
      </c>
      <c r="F8" s="484">
        <f>F6</f>
        <v>52.941176470588232</v>
      </c>
      <c r="G8" s="607">
        <f>G6</f>
        <v>11.764705882352942</v>
      </c>
      <c r="H8" s="570">
        <v>0</v>
      </c>
      <c r="I8" s="571">
        <v>0</v>
      </c>
      <c r="J8" s="502">
        <v>9</v>
      </c>
      <c r="K8" s="484">
        <v>855</v>
      </c>
      <c r="L8" s="570">
        <v>152</v>
      </c>
      <c r="M8" s="571">
        <f>M6</f>
        <v>343.49112934158478</v>
      </c>
      <c r="N8" s="572">
        <v>120</v>
      </c>
      <c r="O8" s="484">
        <f t="shared" si="1"/>
        <v>3983.8029883054742</v>
      </c>
      <c r="P8" s="493"/>
      <c r="Q8" s="640"/>
      <c r="R8" s="640"/>
      <c r="S8" s="640"/>
    </row>
    <row r="9" spans="2:19" s="512" customFormat="1" ht="19.5" customHeight="1">
      <c r="B9" s="483" t="s">
        <v>207</v>
      </c>
      <c r="C9" s="574">
        <f>C6</f>
        <v>250</v>
      </c>
      <c r="D9" s="574">
        <f>D6</f>
        <v>1759.3333333333333</v>
      </c>
      <c r="E9" s="502">
        <f t="shared" si="0"/>
        <v>5278</v>
      </c>
      <c r="F9" s="484">
        <f>F6</f>
        <v>52.941176470588232</v>
      </c>
      <c r="G9" s="607">
        <f>G6</f>
        <v>11.764705882352942</v>
      </c>
      <c r="H9" s="570">
        <v>0</v>
      </c>
      <c r="I9" s="571">
        <v>0</v>
      </c>
      <c r="J9" s="502">
        <v>9</v>
      </c>
      <c r="K9" s="484">
        <v>855</v>
      </c>
      <c r="L9" s="570">
        <v>152</v>
      </c>
      <c r="M9" s="571">
        <f>M6</f>
        <v>343.49112934158478</v>
      </c>
      <c r="N9" s="572">
        <v>120</v>
      </c>
      <c r="O9" s="484">
        <f t="shared" si="1"/>
        <v>3983.8029883054742</v>
      </c>
      <c r="P9" s="493"/>
      <c r="Q9" s="640"/>
      <c r="R9" s="640"/>
      <c r="S9" s="640"/>
    </row>
    <row r="10" spans="2:19" s="512" customFormat="1" ht="19.5" customHeight="1">
      <c r="B10" s="483" t="s">
        <v>205</v>
      </c>
      <c r="C10" s="574">
        <f>C6</f>
        <v>250</v>
      </c>
      <c r="D10" s="574">
        <f>D6</f>
        <v>1759.3333333333333</v>
      </c>
      <c r="E10" s="502">
        <f t="shared" si="0"/>
        <v>5278</v>
      </c>
      <c r="F10" s="484">
        <f>F6</f>
        <v>52.941176470588232</v>
      </c>
      <c r="G10" s="607">
        <f>G6</f>
        <v>11.764705882352942</v>
      </c>
      <c r="H10" s="570">
        <v>0</v>
      </c>
      <c r="I10" s="571">
        <v>0</v>
      </c>
      <c r="J10" s="502">
        <v>9</v>
      </c>
      <c r="K10" s="484">
        <v>855</v>
      </c>
      <c r="L10" s="570">
        <v>152</v>
      </c>
      <c r="M10" s="571">
        <f>M6</f>
        <v>343.49112934158478</v>
      </c>
      <c r="N10" s="572">
        <v>120</v>
      </c>
      <c r="O10" s="484">
        <f t="shared" si="1"/>
        <v>3983.8029883054742</v>
      </c>
      <c r="P10" s="493"/>
      <c r="Q10" s="640"/>
      <c r="R10" s="640"/>
      <c r="S10" s="640"/>
    </row>
    <row r="11" spans="2:19" s="512" customFormat="1" ht="19.5" customHeight="1">
      <c r="B11" s="508" t="s">
        <v>295</v>
      </c>
      <c r="C11" s="574">
        <f>C6</f>
        <v>250</v>
      </c>
      <c r="D11" s="574">
        <f>D6</f>
        <v>1759.3333333333333</v>
      </c>
      <c r="E11" s="502">
        <f t="shared" si="0"/>
        <v>5278</v>
      </c>
      <c r="F11" s="484">
        <f>F6</f>
        <v>52.941176470588232</v>
      </c>
      <c r="G11" s="607">
        <f>G10</f>
        <v>11.764705882352942</v>
      </c>
      <c r="H11" s="570">
        <v>0</v>
      </c>
      <c r="I11" s="571">
        <v>0</v>
      </c>
      <c r="J11" s="502">
        <v>9</v>
      </c>
      <c r="K11" s="484">
        <v>855</v>
      </c>
      <c r="L11" s="570">
        <v>152</v>
      </c>
      <c r="M11" s="571">
        <f>M6</f>
        <v>343.49112934158478</v>
      </c>
      <c r="N11" s="572">
        <v>120</v>
      </c>
      <c r="O11" s="484">
        <f t="shared" si="1"/>
        <v>3983.8029883054742</v>
      </c>
      <c r="P11" s="493"/>
      <c r="Q11" s="641"/>
      <c r="R11" s="641"/>
      <c r="S11" s="641"/>
    </row>
    <row r="12" spans="2:19" s="512" customFormat="1" ht="19.5" customHeight="1">
      <c r="C12" s="513"/>
      <c r="D12" s="513"/>
      <c r="E12" s="513"/>
      <c r="F12" s="513"/>
      <c r="G12" s="513"/>
      <c r="I12" s="559">
        <v>0</v>
      </c>
      <c r="M12" s="559"/>
      <c r="N12" s="560"/>
      <c r="P12" s="554"/>
    </row>
    <row r="13" spans="2:19" s="512" customFormat="1" ht="15" customHeight="1">
      <c r="B13" s="637" t="s">
        <v>5</v>
      </c>
      <c r="C13" s="637" t="s">
        <v>210</v>
      </c>
      <c r="D13" s="637" t="s">
        <v>231</v>
      </c>
      <c r="E13" s="637" t="s">
        <v>249</v>
      </c>
      <c r="F13" s="637" t="s">
        <v>301</v>
      </c>
      <c r="G13" s="637" t="s">
        <v>253</v>
      </c>
      <c r="H13" s="684" t="s">
        <v>208</v>
      </c>
      <c r="I13" s="672" t="s">
        <v>315</v>
      </c>
      <c r="J13" s="667" t="s">
        <v>209</v>
      </c>
      <c r="K13" s="631" t="s">
        <v>216</v>
      </c>
      <c r="L13" s="647" t="s">
        <v>217</v>
      </c>
      <c r="M13" s="690" t="s">
        <v>219</v>
      </c>
      <c r="N13" s="654" t="s">
        <v>262</v>
      </c>
      <c r="O13" s="637" t="s">
        <v>265</v>
      </c>
      <c r="P13" s="492"/>
      <c r="Q13" s="637" t="s">
        <v>214</v>
      </c>
      <c r="R13" s="631" t="s">
        <v>215</v>
      </c>
      <c r="S13" s="631" t="s">
        <v>230</v>
      </c>
    </row>
    <row r="14" spans="2:19" s="512" customFormat="1" ht="15" customHeight="1">
      <c r="B14" s="631"/>
      <c r="C14" s="637"/>
      <c r="D14" s="637"/>
      <c r="E14" s="637"/>
      <c r="F14" s="637"/>
      <c r="G14" s="637"/>
      <c r="H14" s="684"/>
      <c r="I14" s="672"/>
      <c r="J14" s="667"/>
      <c r="K14" s="632"/>
      <c r="L14" s="648"/>
      <c r="M14" s="690"/>
      <c r="N14" s="654"/>
      <c r="O14" s="637"/>
      <c r="P14" s="492"/>
      <c r="Q14" s="637"/>
      <c r="R14" s="632"/>
      <c r="S14" s="632"/>
    </row>
    <row r="15" spans="2:19" s="512" customFormat="1" ht="33.6" customHeight="1" thickBot="1">
      <c r="B15" s="575" t="s">
        <v>202</v>
      </c>
      <c r="C15" s="637"/>
      <c r="D15" s="637"/>
      <c r="E15" s="637"/>
      <c r="F15" s="637"/>
      <c r="G15" s="637"/>
      <c r="H15" s="684"/>
      <c r="I15" s="672"/>
      <c r="J15" s="667"/>
      <c r="K15" s="633"/>
      <c r="L15" s="649"/>
      <c r="M15" s="690"/>
      <c r="N15" s="654"/>
      <c r="O15" s="637"/>
      <c r="P15" s="492"/>
      <c r="Q15" s="637"/>
      <c r="R15" s="633"/>
      <c r="S15" s="633"/>
    </row>
    <row r="16" spans="2:19" s="512" customFormat="1" ht="19.5" customHeight="1" thickTop="1" thickBot="1">
      <c r="B16" s="485" t="s">
        <v>203</v>
      </c>
      <c r="C16" s="568">
        <v>250</v>
      </c>
      <c r="D16" s="569">
        <f>Q16/3</f>
        <v>1901.49</v>
      </c>
      <c r="E16" s="482">
        <f>D16*3</f>
        <v>5704.47</v>
      </c>
      <c r="F16" s="482">
        <v>0</v>
      </c>
      <c r="G16" s="482">
        <v>0</v>
      </c>
      <c r="H16" s="576">
        <v>0</v>
      </c>
      <c r="I16" s="578">
        <v>2</v>
      </c>
      <c r="J16" s="577">
        <v>0</v>
      </c>
      <c r="K16" s="482">
        <v>360</v>
      </c>
      <c r="L16" s="576">
        <v>0</v>
      </c>
      <c r="M16" s="578">
        <f>'SCUOLE IN LOMBARDIA'!H7</f>
        <v>350.08489558717991</v>
      </c>
      <c r="N16" s="579">
        <v>0</v>
      </c>
      <c r="O16" s="482">
        <f>C16+E16-F16-G16-H16-I16-J16-K16-L16-M16-N16</f>
        <v>5242.3851044128205</v>
      </c>
      <c r="P16" s="493"/>
      <c r="Q16" s="634">
        <v>5704.47</v>
      </c>
      <c r="R16" s="634">
        <v>5704.47</v>
      </c>
      <c r="S16" s="634">
        <v>4851</v>
      </c>
    </row>
    <row r="17" spans="2:19" s="512" customFormat="1" ht="19.5" customHeight="1" thickTop="1">
      <c r="B17" s="485" t="s">
        <v>204</v>
      </c>
      <c r="C17" s="574">
        <f>C16</f>
        <v>250</v>
      </c>
      <c r="D17" s="574">
        <f>D16</f>
        <v>1901.49</v>
      </c>
      <c r="E17" s="482">
        <f t="shared" ref="E17:E21" si="2">D17*3</f>
        <v>5704.47</v>
      </c>
      <c r="F17" s="482">
        <v>0</v>
      </c>
      <c r="G17" s="482">
        <v>0</v>
      </c>
      <c r="H17" s="576">
        <v>0</v>
      </c>
      <c r="I17" s="578">
        <v>2</v>
      </c>
      <c r="J17" s="577">
        <v>0</v>
      </c>
      <c r="K17" s="482">
        <v>360</v>
      </c>
      <c r="L17" s="576">
        <v>0</v>
      </c>
      <c r="M17" s="578">
        <f>M16</f>
        <v>350.08489558717991</v>
      </c>
      <c r="N17" s="579">
        <v>0</v>
      </c>
      <c r="O17" s="482">
        <f t="shared" ref="O17:O21" si="3">C17+E17-F17-G17-H17-I17-J17-K17-L17-M17-N17</f>
        <v>5242.3851044128205</v>
      </c>
      <c r="P17" s="493"/>
      <c r="Q17" s="635"/>
      <c r="R17" s="635"/>
      <c r="S17" s="635"/>
    </row>
    <row r="18" spans="2:19" s="512" customFormat="1" ht="19.5" customHeight="1">
      <c r="B18" s="485" t="s">
        <v>206</v>
      </c>
      <c r="C18" s="574">
        <f>C16</f>
        <v>250</v>
      </c>
      <c r="D18" s="574">
        <f>D16</f>
        <v>1901.49</v>
      </c>
      <c r="E18" s="482">
        <f t="shared" si="2"/>
        <v>5704.47</v>
      </c>
      <c r="F18" s="482">
        <v>0</v>
      </c>
      <c r="G18" s="482">
        <v>0</v>
      </c>
      <c r="H18" s="576">
        <v>0</v>
      </c>
      <c r="I18" s="578">
        <v>2</v>
      </c>
      <c r="J18" s="577">
        <v>0</v>
      </c>
      <c r="K18" s="482">
        <v>360</v>
      </c>
      <c r="L18" s="576">
        <v>0</v>
      </c>
      <c r="M18" s="578">
        <f>M16</f>
        <v>350.08489558717991</v>
      </c>
      <c r="N18" s="579">
        <v>0</v>
      </c>
      <c r="O18" s="482">
        <f t="shared" si="3"/>
        <v>5242.3851044128205</v>
      </c>
      <c r="P18" s="493"/>
      <c r="Q18" s="635"/>
      <c r="R18" s="635"/>
      <c r="S18" s="635"/>
    </row>
    <row r="19" spans="2:19" s="512" customFormat="1" ht="19.5" customHeight="1">
      <c r="B19" s="485" t="s">
        <v>207</v>
      </c>
      <c r="C19" s="574">
        <f>C16</f>
        <v>250</v>
      </c>
      <c r="D19" s="574">
        <f>D16</f>
        <v>1901.49</v>
      </c>
      <c r="E19" s="482">
        <f t="shared" si="2"/>
        <v>5704.47</v>
      </c>
      <c r="F19" s="482">
        <v>0</v>
      </c>
      <c r="G19" s="482">
        <v>0</v>
      </c>
      <c r="H19" s="576">
        <v>0</v>
      </c>
      <c r="I19" s="578">
        <v>2</v>
      </c>
      <c r="J19" s="577">
        <v>0</v>
      </c>
      <c r="K19" s="482">
        <v>360</v>
      </c>
      <c r="L19" s="576">
        <v>0</v>
      </c>
      <c r="M19" s="578">
        <f>M18</f>
        <v>350.08489558717991</v>
      </c>
      <c r="N19" s="579">
        <v>0</v>
      </c>
      <c r="O19" s="482">
        <f t="shared" si="3"/>
        <v>5242.3851044128205</v>
      </c>
      <c r="P19" s="493"/>
      <c r="Q19" s="635"/>
      <c r="R19" s="635"/>
      <c r="S19" s="635"/>
    </row>
    <row r="20" spans="2:19" s="512" customFormat="1" ht="19.5" customHeight="1">
      <c r="B20" s="485" t="s">
        <v>205</v>
      </c>
      <c r="C20" s="574">
        <f>C16</f>
        <v>250</v>
      </c>
      <c r="D20" s="574">
        <f>D16</f>
        <v>1901.49</v>
      </c>
      <c r="E20" s="482">
        <f t="shared" si="2"/>
        <v>5704.47</v>
      </c>
      <c r="F20" s="482">
        <v>0</v>
      </c>
      <c r="G20" s="482">
        <v>0</v>
      </c>
      <c r="H20" s="576">
        <v>0</v>
      </c>
      <c r="I20" s="578">
        <v>2</v>
      </c>
      <c r="J20" s="577">
        <v>0</v>
      </c>
      <c r="K20" s="482">
        <v>360</v>
      </c>
      <c r="L20" s="576">
        <v>0</v>
      </c>
      <c r="M20" s="578">
        <f>M19</f>
        <v>350.08489558717991</v>
      </c>
      <c r="N20" s="579">
        <v>0</v>
      </c>
      <c r="O20" s="482">
        <f t="shared" si="3"/>
        <v>5242.3851044128205</v>
      </c>
      <c r="P20" s="493"/>
      <c r="Q20" s="635"/>
      <c r="R20" s="635"/>
      <c r="S20" s="635"/>
    </row>
    <row r="21" spans="2:19" s="512" customFormat="1" ht="19.5" customHeight="1">
      <c r="B21" s="509" t="s">
        <v>295</v>
      </c>
      <c r="C21" s="574">
        <f>C16</f>
        <v>250</v>
      </c>
      <c r="D21" s="574">
        <f>D16</f>
        <v>1901.49</v>
      </c>
      <c r="E21" s="482">
        <f t="shared" si="2"/>
        <v>5704.47</v>
      </c>
      <c r="F21" s="482">
        <v>0</v>
      </c>
      <c r="G21" s="482">
        <v>0</v>
      </c>
      <c r="H21" s="576">
        <v>0</v>
      </c>
      <c r="I21" s="578">
        <v>2</v>
      </c>
      <c r="J21" s="577">
        <v>0</v>
      </c>
      <c r="K21" s="482">
        <v>360</v>
      </c>
      <c r="L21" s="576">
        <v>0</v>
      </c>
      <c r="M21" s="578">
        <f>M20</f>
        <v>350.08489558717991</v>
      </c>
      <c r="N21" s="579">
        <v>0</v>
      </c>
      <c r="O21" s="482">
        <f t="shared" si="3"/>
        <v>5242.3851044128205</v>
      </c>
      <c r="P21" s="493"/>
      <c r="Q21" s="636"/>
      <c r="R21" s="636"/>
      <c r="S21" s="636"/>
    </row>
    <row r="22" spans="2:19" s="512" customFormat="1" ht="19.5" customHeight="1">
      <c r="C22" s="513"/>
      <c r="D22" s="513"/>
      <c r="E22" s="513"/>
      <c r="F22" s="513"/>
      <c r="G22" s="513"/>
      <c r="I22" s="559"/>
      <c r="M22" s="559"/>
      <c r="N22" s="560"/>
      <c r="P22" s="554"/>
    </row>
    <row r="23" spans="2:19" s="517" customFormat="1" ht="15" customHeight="1">
      <c r="B23" s="627" t="s">
        <v>211</v>
      </c>
      <c r="C23" s="627" t="s">
        <v>210</v>
      </c>
      <c r="D23" s="627" t="s">
        <v>232</v>
      </c>
      <c r="E23" s="627" t="s">
        <v>249</v>
      </c>
      <c r="F23" s="627" t="s">
        <v>302</v>
      </c>
      <c r="G23" s="627" t="s">
        <v>253</v>
      </c>
      <c r="H23" s="660" t="s">
        <v>208</v>
      </c>
      <c r="I23" s="661" t="s">
        <v>316</v>
      </c>
      <c r="J23" s="658" t="s">
        <v>209</v>
      </c>
      <c r="K23" s="627" t="s">
        <v>216</v>
      </c>
      <c r="L23" s="660" t="s">
        <v>217</v>
      </c>
      <c r="M23" s="689" t="s">
        <v>219</v>
      </c>
      <c r="N23" s="662" t="s">
        <v>262</v>
      </c>
      <c r="O23" s="627" t="s">
        <v>265</v>
      </c>
      <c r="P23" s="492"/>
      <c r="Q23" s="627" t="s">
        <v>214</v>
      </c>
      <c r="R23" s="627" t="s">
        <v>215</v>
      </c>
      <c r="S23" s="627" t="s">
        <v>275</v>
      </c>
    </row>
    <row r="24" spans="2:19" s="517" customFormat="1" ht="17.25" customHeight="1">
      <c r="B24" s="642"/>
      <c r="C24" s="627"/>
      <c r="D24" s="627"/>
      <c r="E24" s="627"/>
      <c r="F24" s="627"/>
      <c r="G24" s="627"/>
      <c r="H24" s="660"/>
      <c r="I24" s="661"/>
      <c r="J24" s="658"/>
      <c r="K24" s="627"/>
      <c r="L24" s="660"/>
      <c r="M24" s="689"/>
      <c r="N24" s="662"/>
      <c r="O24" s="627"/>
      <c r="P24" s="492"/>
      <c r="Q24" s="627"/>
      <c r="R24" s="627"/>
      <c r="S24" s="627"/>
    </row>
    <row r="25" spans="2:19" s="517" customFormat="1" ht="27.6" customHeight="1" thickBot="1">
      <c r="B25" s="580" t="s">
        <v>202</v>
      </c>
      <c r="C25" s="627"/>
      <c r="D25" s="627"/>
      <c r="E25" s="627"/>
      <c r="F25" s="627"/>
      <c r="G25" s="627"/>
      <c r="H25" s="660"/>
      <c r="I25" s="661"/>
      <c r="J25" s="658"/>
      <c r="K25" s="627"/>
      <c r="L25" s="660"/>
      <c r="M25" s="689"/>
      <c r="N25" s="662"/>
      <c r="O25" s="627"/>
      <c r="P25" s="492"/>
      <c r="Q25" s="627"/>
      <c r="R25" s="627"/>
      <c r="S25" s="627"/>
    </row>
    <row r="26" spans="2:19" s="512" customFormat="1" ht="19.5" customHeight="1" thickTop="1" thickBot="1">
      <c r="B26" s="486" t="s">
        <v>203</v>
      </c>
      <c r="C26" s="568">
        <v>250</v>
      </c>
      <c r="D26" s="569">
        <f>Q26/3</f>
        <v>2116.0499999999997</v>
      </c>
      <c r="E26" s="489">
        <f>D26*3</f>
        <v>6348.15</v>
      </c>
      <c r="F26" s="489">
        <v>0</v>
      </c>
      <c r="G26" s="489">
        <v>0</v>
      </c>
      <c r="H26" s="581">
        <v>2000</v>
      </c>
      <c r="I26" s="582">
        <v>2</v>
      </c>
      <c r="J26" s="503">
        <v>0</v>
      </c>
      <c r="K26" s="489">
        <v>295</v>
      </c>
      <c r="L26" s="581">
        <v>0</v>
      </c>
      <c r="M26" s="582">
        <f>M21</f>
        <v>350.08489558717991</v>
      </c>
      <c r="N26" s="583">
        <v>0</v>
      </c>
      <c r="O26" s="489">
        <f>C26+E26-F26-G26-H26-I26-J26-K26-L26-M26-N26</f>
        <v>3951.0651044128199</v>
      </c>
      <c r="P26" s="493"/>
      <c r="Q26" s="628">
        <v>6348.15</v>
      </c>
      <c r="R26" s="628">
        <v>6348.15</v>
      </c>
      <c r="S26" s="628">
        <v>6000</v>
      </c>
    </row>
    <row r="27" spans="2:19" s="512" customFormat="1" ht="19.5" customHeight="1" thickTop="1">
      <c r="B27" s="486" t="s">
        <v>204</v>
      </c>
      <c r="C27" s="574">
        <f t="shared" ref="C27:C31" si="4">C26</f>
        <v>250</v>
      </c>
      <c r="D27" s="574">
        <f>D26</f>
        <v>2116.0499999999997</v>
      </c>
      <c r="E27" s="489">
        <f t="shared" ref="E27:E31" si="5">D27*3</f>
        <v>6348.15</v>
      </c>
      <c r="F27" s="489">
        <v>0</v>
      </c>
      <c r="G27" s="489">
        <v>0</v>
      </c>
      <c r="H27" s="581">
        <v>2000</v>
      </c>
      <c r="I27" s="582">
        <v>2</v>
      </c>
      <c r="J27" s="503">
        <v>0</v>
      </c>
      <c r="K27" s="489">
        <v>295</v>
      </c>
      <c r="L27" s="581">
        <v>0</v>
      </c>
      <c r="M27" s="582">
        <f>M26</f>
        <v>350.08489558717991</v>
      </c>
      <c r="N27" s="583">
        <v>0</v>
      </c>
      <c r="O27" s="489">
        <f t="shared" ref="O27:O31" si="6">C27+E27-F27-G27-H27-I27-J27-K27-L27-M27-N27</f>
        <v>3951.0651044128199</v>
      </c>
      <c r="P27" s="493"/>
      <c r="Q27" s="629"/>
      <c r="R27" s="629"/>
      <c r="S27" s="629"/>
    </row>
    <row r="28" spans="2:19" s="512" customFormat="1" ht="19.5" customHeight="1">
      <c r="B28" s="486" t="s">
        <v>206</v>
      </c>
      <c r="C28" s="574">
        <f t="shared" si="4"/>
        <v>250</v>
      </c>
      <c r="D28" s="574">
        <f>D26</f>
        <v>2116.0499999999997</v>
      </c>
      <c r="E28" s="489">
        <f t="shared" si="5"/>
        <v>6348.15</v>
      </c>
      <c r="F28" s="489">
        <v>0</v>
      </c>
      <c r="G28" s="489">
        <v>0</v>
      </c>
      <c r="H28" s="581">
        <v>2000</v>
      </c>
      <c r="I28" s="582">
        <v>2</v>
      </c>
      <c r="J28" s="503">
        <v>0</v>
      </c>
      <c r="K28" s="489">
        <v>295</v>
      </c>
      <c r="L28" s="581">
        <v>0</v>
      </c>
      <c r="M28" s="582">
        <f>M27</f>
        <v>350.08489558717991</v>
      </c>
      <c r="N28" s="583">
        <v>0</v>
      </c>
      <c r="O28" s="489">
        <f t="shared" si="6"/>
        <v>3951.0651044128199</v>
      </c>
      <c r="P28" s="493"/>
      <c r="Q28" s="629"/>
      <c r="R28" s="629"/>
      <c r="S28" s="629"/>
    </row>
    <row r="29" spans="2:19" s="512" customFormat="1" ht="19.5" customHeight="1">
      <c r="B29" s="486" t="s">
        <v>207</v>
      </c>
      <c r="C29" s="574">
        <f t="shared" si="4"/>
        <v>250</v>
      </c>
      <c r="D29" s="574">
        <f>D26</f>
        <v>2116.0499999999997</v>
      </c>
      <c r="E29" s="489">
        <f t="shared" si="5"/>
        <v>6348.15</v>
      </c>
      <c r="F29" s="489">
        <v>0</v>
      </c>
      <c r="G29" s="489">
        <v>0</v>
      </c>
      <c r="H29" s="581">
        <v>0</v>
      </c>
      <c r="I29" s="582">
        <v>2</v>
      </c>
      <c r="J29" s="503">
        <v>0</v>
      </c>
      <c r="K29" s="489">
        <v>295</v>
      </c>
      <c r="L29" s="581">
        <v>0</v>
      </c>
      <c r="M29" s="582">
        <f>M28</f>
        <v>350.08489558717991</v>
      </c>
      <c r="N29" s="583">
        <v>0</v>
      </c>
      <c r="O29" s="489">
        <f t="shared" si="6"/>
        <v>5951.0651044128199</v>
      </c>
      <c r="P29" s="493"/>
      <c r="Q29" s="629"/>
      <c r="R29" s="629"/>
      <c r="S29" s="629"/>
    </row>
    <row r="30" spans="2:19" s="512" customFormat="1" ht="19.5" customHeight="1">
      <c r="B30" s="486" t="s">
        <v>205</v>
      </c>
      <c r="C30" s="574">
        <f t="shared" si="4"/>
        <v>250</v>
      </c>
      <c r="D30" s="574">
        <f>D26</f>
        <v>2116.0499999999997</v>
      </c>
      <c r="E30" s="489">
        <f t="shared" si="5"/>
        <v>6348.15</v>
      </c>
      <c r="F30" s="489">
        <v>0</v>
      </c>
      <c r="G30" s="489">
        <v>0</v>
      </c>
      <c r="H30" s="581">
        <v>0</v>
      </c>
      <c r="I30" s="582">
        <v>2</v>
      </c>
      <c r="J30" s="503">
        <v>0</v>
      </c>
      <c r="K30" s="489">
        <v>295</v>
      </c>
      <c r="L30" s="581">
        <v>0</v>
      </c>
      <c r="M30" s="582">
        <f>M29</f>
        <v>350.08489558717991</v>
      </c>
      <c r="N30" s="583">
        <v>0</v>
      </c>
      <c r="O30" s="489">
        <f t="shared" si="6"/>
        <v>5951.0651044128199</v>
      </c>
      <c r="P30" s="493"/>
      <c r="Q30" s="629"/>
      <c r="R30" s="629"/>
      <c r="S30" s="629"/>
    </row>
    <row r="31" spans="2:19" s="512" customFormat="1" ht="19.5" customHeight="1">
      <c r="B31" s="510" t="s">
        <v>295</v>
      </c>
      <c r="C31" s="574">
        <f t="shared" si="4"/>
        <v>250</v>
      </c>
      <c r="D31" s="574">
        <f>D26</f>
        <v>2116.0499999999997</v>
      </c>
      <c r="E31" s="489">
        <f t="shared" si="5"/>
        <v>6348.15</v>
      </c>
      <c r="F31" s="489">
        <v>0</v>
      </c>
      <c r="G31" s="489">
        <v>0</v>
      </c>
      <c r="H31" s="581">
        <v>0</v>
      </c>
      <c r="I31" s="582">
        <v>2</v>
      </c>
      <c r="J31" s="503">
        <v>0</v>
      </c>
      <c r="K31" s="489">
        <v>295</v>
      </c>
      <c r="L31" s="581">
        <v>0</v>
      </c>
      <c r="M31" s="582">
        <f>M30</f>
        <v>350.08489558717991</v>
      </c>
      <c r="N31" s="583">
        <v>0</v>
      </c>
      <c r="O31" s="489">
        <f t="shared" si="6"/>
        <v>5951.0651044128199</v>
      </c>
      <c r="P31" s="493"/>
      <c r="Q31" s="630"/>
      <c r="R31" s="630"/>
      <c r="S31" s="630"/>
    </row>
    <row r="32" spans="2:19" s="512" customFormat="1" ht="19.5" customHeight="1">
      <c r="C32" s="513"/>
      <c r="D32" s="513"/>
      <c r="E32" s="513"/>
      <c r="F32" s="513"/>
      <c r="G32" s="513"/>
      <c r="I32" s="559"/>
      <c r="M32" s="559"/>
      <c r="N32" s="560"/>
      <c r="P32" s="554"/>
    </row>
    <row r="33" spans="2:19" s="512" customFormat="1" ht="15" customHeight="1">
      <c r="B33" s="624" t="s">
        <v>213</v>
      </c>
      <c r="C33" s="624" t="s">
        <v>210</v>
      </c>
      <c r="D33" s="624" t="s">
        <v>233</v>
      </c>
      <c r="E33" s="624" t="s">
        <v>249</v>
      </c>
      <c r="F33" s="624" t="s">
        <v>302</v>
      </c>
      <c r="G33" s="624" t="s">
        <v>253</v>
      </c>
      <c r="H33" s="655" t="s">
        <v>208</v>
      </c>
      <c r="I33" s="622" t="s">
        <v>317</v>
      </c>
      <c r="J33" s="623" t="s">
        <v>209</v>
      </c>
      <c r="K33" s="624" t="s">
        <v>216</v>
      </c>
      <c r="L33" s="655" t="s">
        <v>217</v>
      </c>
      <c r="M33" s="656" t="s">
        <v>219</v>
      </c>
      <c r="N33" s="657" t="s">
        <v>262</v>
      </c>
      <c r="O33" s="624" t="s">
        <v>265</v>
      </c>
      <c r="P33" s="492"/>
      <c r="Q33" s="624" t="s">
        <v>214</v>
      </c>
      <c r="R33" s="624" t="s">
        <v>215</v>
      </c>
      <c r="S33" s="624" t="s">
        <v>275</v>
      </c>
    </row>
    <row r="34" spans="2:19" s="512" customFormat="1" ht="13.8" customHeight="1">
      <c r="B34" s="659"/>
      <c r="C34" s="624"/>
      <c r="D34" s="624"/>
      <c r="E34" s="624"/>
      <c r="F34" s="624"/>
      <c r="G34" s="624"/>
      <c r="H34" s="655"/>
      <c r="I34" s="622"/>
      <c r="J34" s="623"/>
      <c r="K34" s="624"/>
      <c r="L34" s="655"/>
      <c r="M34" s="656"/>
      <c r="N34" s="657"/>
      <c r="O34" s="624"/>
      <c r="P34" s="492"/>
      <c r="Q34" s="624"/>
      <c r="R34" s="624"/>
      <c r="S34" s="624"/>
    </row>
    <row r="35" spans="2:19" s="512" customFormat="1" ht="27" customHeight="1" thickBot="1">
      <c r="B35" s="584" t="s">
        <v>202</v>
      </c>
      <c r="C35" s="624"/>
      <c r="D35" s="624"/>
      <c r="E35" s="624"/>
      <c r="F35" s="624"/>
      <c r="G35" s="624"/>
      <c r="H35" s="655"/>
      <c r="I35" s="622"/>
      <c r="J35" s="623"/>
      <c r="K35" s="624"/>
      <c r="L35" s="655"/>
      <c r="M35" s="656"/>
      <c r="N35" s="657"/>
      <c r="O35" s="624"/>
      <c r="P35" s="492"/>
      <c r="Q35" s="624"/>
      <c r="R35" s="624"/>
      <c r="S35" s="624"/>
    </row>
    <row r="36" spans="2:19" s="512" customFormat="1" ht="19.5" customHeight="1" thickTop="1" thickBot="1">
      <c r="B36" s="487" t="s">
        <v>203</v>
      </c>
      <c r="C36" s="568">
        <v>250</v>
      </c>
      <c r="D36" s="569">
        <f>Q36/3</f>
        <v>2231.33</v>
      </c>
      <c r="E36" s="488">
        <f>D36*3</f>
        <v>6693.99</v>
      </c>
      <c r="F36" s="488">
        <v>0</v>
      </c>
      <c r="G36" s="488">
        <v>0</v>
      </c>
      <c r="H36" s="585">
        <v>2000</v>
      </c>
      <c r="I36" s="586">
        <v>2</v>
      </c>
      <c r="J36" s="504">
        <v>0</v>
      </c>
      <c r="K36" s="488">
        <v>227</v>
      </c>
      <c r="L36" s="585">
        <v>152</v>
      </c>
      <c r="M36" s="586">
        <f>M31</f>
        <v>350.08489558717991</v>
      </c>
      <c r="N36" s="587">
        <v>0</v>
      </c>
      <c r="O36" s="488">
        <f>C36+E36-F36-G36-H36-I36-J36-K36-L36-M36-N36</f>
        <v>4212.90510441282</v>
      </c>
      <c r="P36" s="493"/>
      <c r="Q36" s="616">
        <v>6693.99</v>
      </c>
      <c r="R36" s="616">
        <v>6693.99</v>
      </c>
      <c r="S36" s="616">
        <v>6200</v>
      </c>
    </row>
    <row r="37" spans="2:19" s="512" customFormat="1" ht="19.5" customHeight="1" thickTop="1">
      <c r="B37" s="487" t="s">
        <v>204</v>
      </c>
      <c r="C37" s="574">
        <f t="shared" ref="C37:C41" si="7">C36</f>
        <v>250</v>
      </c>
      <c r="D37" s="574">
        <f>D36</f>
        <v>2231.33</v>
      </c>
      <c r="E37" s="488">
        <f t="shared" ref="E37:E41" si="8">D37*3</f>
        <v>6693.99</v>
      </c>
      <c r="F37" s="488">
        <v>0</v>
      </c>
      <c r="G37" s="488">
        <v>0</v>
      </c>
      <c r="H37" s="585">
        <v>2000</v>
      </c>
      <c r="I37" s="586">
        <v>2</v>
      </c>
      <c r="J37" s="504">
        <v>0</v>
      </c>
      <c r="K37" s="488">
        <v>227</v>
      </c>
      <c r="L37" s="585">
        <v>152</v>
      </c>
      <c r="M37" s="586">
        <f>M31</f>
        <v>350.08489558717991</v>
      </c>
      <c r="N37" s="587">
        <v>0</v>
      </c>
      <c r="O37" s="488">
        <f t="shared" ref="O37:O41" si="9">C37+E37-F37-G37-H37-I37-J37-K37-L37-M37-N37</f>
        <v>4212.90510441282</v>
      </c>
      <c r="P37" s="493"/>
      <c r="Q37" s="617"/>
      <c r="R37" s="617"/>
      <c r="S37" s="617"/>
    </row>
    <row r="38" spans="2:19" s="512" customFormat="1" ht="19.5" customHeight="1">
      <c r="B38" s="487" t="s">
        <v>206</v>
      </c>
      <c r="C38" s="574">
        <f t="shared" si="7"/>
        <v>250</v>
      </c>
      <c r="D38" s="574">
        <f>D36</f>
        <v>2231.33</v>
      </c>
      <c r="E38" s="488">
        <f t="shared" si="8"/>
        <v>6693.99</v>
      </c>
      <c r="F38" s="488">
        <v>0</v>
      </c>
      <c r="G38" s="488">
        <v>0</v>
      </c>
      <c r="H38" s="585">
        <v>2000</v>
      </c>
      <c r="I38" s="586">
        <v>2</v>
      </c>
      <c r="J38" s="504">
        <v>0</v>
      </c>
      <c r="K38" s="488">
        <v>227</v>
      </c>
      <c r="L38" s="585">
        <v>152</v>
      </c>
      <c r="M38" s="586">
        <f>M31</f>
        <v>350.08489558717991</v>
      </c>
      <c r="N38" s="587">
        <v>0</v>
      </c>
      <c r="O38" s="488">
        <f t="shared" si="9"/>
        <v>4212.90510441282</v>
      </c>
      <c r="P38" s="493"/>
      <c r="Q38" s="617"/>
      <c r="R38" s="617"/>
      <c r="S38" s="617"/>
    </row>
    <row r="39" spans="2:19" s="512" customFormat="1" ht="19.5" customHeight="1">
      <c r="B39" s="487" t="s">
        <v>207</v>
      </c>
      <c r="C39" s="574">
        <f t="shared" si="7"/>
        <v>250</v>
      </c>
      <c r="D39" s="574">
        <f>D36</f>
        <v>2231.33</v>
      </c>
      <c r="E39" s="488">
        <f t="shared" si="8"/>
        <v>6693.99</v>
      </c>
      <c r="F39" s="488">
        <v>0</v>
      </c>
      <c r="G39" s="488">
        <v>0</v>
      </c>
      <c r="H39" s="585">
        <v>0</v>
      </c>
      <c r="I39" s="586">
        <v>2</v>
      </c>
      <c r="J39" s="504">
        <v>0</v>
      </c>
      <c r="K39" s="488">
        <v>227</v>
      </c>
      <c r="L39" s="585">
        <v>152</v>
      </c>
      <c r="M39" s="586">
        <f>M31</f>
        <v>350.08489558717991</v>
      </c>
      <c r="N39" s="587">
        <v>0</v>
      </c>
      <c r="O39" s="488">
        <f t="shared" si="9"/>
        <v>6212.90510441282</v>
      </c>
      <c r="P39" s="493"/>
      <c r="Q39" s="617"/>
      <c r="R39" s="617"/>
      <c r="S39" s="617"/>
    </row>
    <row r="40" spans="2:19" s="512" customFormat="1" ht="19.5" customHeight="1">
      <c r="B40" s="487" t="s">
        <v>205</v>
      </c>
      <c r="C40" s="574">
        <f t="shared" si="7"/>
        <v>250</v>
      </c>
      <c r="D40" s="574">
        <f>D36</f>
        <v>2231.33</v>
      </c>
      <c r="E40" s="488">
        <f t="shared" si="8"/>
        <v>6693.99</v>
      </c>
      <c r="F40" s="488">
        <v>0</v>
      </c>
      <c r="G40" s="488">
        <v>0</v>
      </c>
      <c r="H40" s="585">
        <v>0</v>
      </c>
      <c r="I40" s="586">
        <v>2</v>
      </c>
      <c r="J40" s="504">
        <v>0</v>
      </c>
      <c r="K40" s="488">
        <v>227</v>
      </c>
      <c r="L40" s="585">
        <v>152</v>
      </c>
      <c r="M40" s="586">
        <f>M31</f>
        <v>350.08489558717991</v>
      </c>
      <c r="N40" s="587">
        <v>0</v>
      </c>
      <c r="O40" s="488">
        <f t="shared" si="9"/>
        <v>6212.90510441282</v>
      </c>
      <c r="P40" s="493"/>
      <c r="Q40" s="617"/>
      <c r="R40" s="617"/>
      <c r="S40" s="617"/>
    </row>
    <row r="41" spans="2:19" s="512" customFormat="1" ht="19.5" customHeight="1" thickBot="1">
      <c r="B41" s="511" t="s">
        <v>295</v>
      </c>
      <c r="C41" s="574">
        <f t="shared" si="7"/>
        <v>250</v>
      </c>
      <c r="D41" s="574">
        <f>D36</f>
        <v>2231.33</v>
      </c>
      <c r="E41" s="488">
        <f t="shared" si="8"/>
        <v>6693.99</v>
      </c>
      <c r="F41" s="488">
        <v>0</v>
      </c>
      <c r="G41" s="488">
        <v>0</v>
      </c>
      <c r="H41" s="585">
        <v>0</v>
      </c>
      <c r="I41" s="588">
        <v>2</v>
      </c>
      <c r="J41" s="504">
        <v>0</v>
      </c>
      <c r="K41" s="488">
        <v>227</v>
      </c>
      <c r="L41" s="585">
        <v>152</v>
      </c>
      <c r="M41" s="588">
        <f>M40</f>
        <v>350.08489558717991</v>
      </c>
      <c r="N41" s="587">
        <v>0</v>
      </c>
      <c r="O41" s="488">
        <f t="shared" si="9"/>
        <v>6212.90510441282</v>
      </c>
      <c r="P41" s="493"/>
      <c r="Q41" s="618"/>
      <c r="R41" s="618"/>
      <c r="S41" s="618"/>
    </row>
    <row r="42" spans="2:19" s="512" customFormat="1" ht="15" customHeight="1">
      <c r="B42" s="518" t="s">
        <v>282</v>
      </c>
      <c r="C42" s="513"/>
      <c r="D42" s="513"/>
      <c r="E42" s="513"/>
      <c r="F42" s="513"/>
      <c r="G42" s="513"/>
      <c r="N42" s="560"/>
      <c r="P42" s="554"/>
      <c r="Q42" s="519" t="s">
        <v>214</v>
      </c>
    </row>
    <row r="43" spans="2:19" s="512" customFormat="1" ht="15" customHeight="1">
      <c r="B43" s="518" t="s">
        <v>279</v>
      </c>
      <c r="C43" s="513"/>
      <c r="D43" s="513"/>
      <c r="E43" s="513"/>
      <c r="F43" s="513"/>
      <c r="G43" s="513"/>
      <c r="N43" s="560"/>
      <c r="P43" s="554"/>
      <c r="Q43" s="519" t="s">
        <v>276</v>
      </c>
    </row>
    <row r="44" spans="2:19" s="512" customFormat="1" ht="15" customHeight="1">
      <c r="B44" s="518" t="s">
        <v>322</v>
      </c>
      <c r="C44" s="589"/>
      <c r="D44" s="589"/>
      <c r="E44" s="589"/>
      <c r="F44" s="589"/>
      <c r="G44" s="589"/>
      <c r="H44" s="589"/>
      <c r="I44" s="589"/>
      <c r="N44" s="560"/>
      <c r="P44" s="554"/>
      <c r="Q44" s="519"/>
    </row>
    <row r="45" spans="2:19" s="512" customFormat="1" ht="15" customHeight="1">
      <c r="B45" s="512" t="s">
        <v>324</v>
      </c>
      <c r="C45" s="513"/>
      <c r="D45" s="513"/>
      <c r="E45" s="513"/>
      <c r="F45" s="513"/>
      <c r="N45" s="560"/>
      <c r="P45" s="554"/>
      <c r="Q45" s="519"/>
    </row>
    <row r="46" spans="2:19" s="513" customFormat="1" ht="21" customHeight="1">
      <c r="B46" s="595"/>
      <c r="C46" s="595"/>
      <c r="D46" s="595"/>
      <c r="E46" s="595"/>
      <c r="F46" s="595"/>
      <c r="G46" s="595"/>
      <c r="H46" s="595"/>
      <c r="I46" s="595"/>
      <c r="J46" s="595"/>
      <c r="K46" s="595"/>
      <c r="L46" s="595"/>
      <c r="M46" s="595"/>
      <c r="N46" s="605"/>
      <c r="P46" s="596"/>
      <c r="Q46" s="590"/>
      <c r="R46" s="590"/>
      <c r="S46" s="590"/>
    </row>
    <row r="47" spans="2:19" s="513" customFormat="1" ht="13.8">
      <c r="B47" s="534" t="s">
        <v>273</v>
      </c>
      <c r="C47" s="619" t="s">
        <v>259</v>
      </c>
      <c r="D47" s="619"/>
      <c r="E47" s="620" t="s">
        <v>260</v>
      </c>
      <c r="F47" s="621"/>
      <c r="G47" s="535" t="s">
        <v>289</v>
      </c>
      <c r="N47" s="606"/>
      <c r="P47" s="596"/>
      <c r="Q47" s="512"/>
      <c r="R47" s="512"/>
      <c r="S47" s="512"/>
    </row>
    <row r="48" spans="2:19" s="513" customFormat="1" ht="13.8">
      <c r="B48" s="592" t="s">
        <v>277</v>
      </c>
      <c r="C48" s="536" t="s">
        <v>257</v>
      </c>
      <c r="D48" s="536" t="s">
        <v>258</v>
      </c>
      <c r="E48" s="537" t="s">
        <v>257</v>
      </c>
      <c r="F48" s="537" t="s">
        <v>258</v>
      </c>
      <c r="G48" s="538"/>
      <c r="N48" s="606"/>
      <c r="P48" s="596"/>
      <c r="Q48" s="512"/>
      <c r="R48" s="512"/>
      <c r="S48" s="512"/>
    </row>
    <row r="49" spans="2:19" s="513" customFormat="1" ht="6" customHeight="1">
      <c r="B49" s="592"/>
      <c r="C49" s="536"/>
      <c r="D49" s="536"/>
      <c r="E49" s="537"/>
      <c r="F49" s="537"/>
      <c r="G49" s="538"/>
      <c r="N49" s="606"/>
      <c r="P49" s="596"/>
      <c r="Q49" s="512"/>
      <c r="R49" s="512"/>
      <c r="S49" s="512"/>
    </row>
    <row r="50" spans="2:19" s="513" customFormat="1" ht="13.8">
      <c r="B50" s="597" t="s">
        <v>254</v>
      </c>
      <c r="C50" s="540">
        <v>965</v>
      </c>
      <c r="D50" s="540">
        <v>78517</v>
      </c>
      <c r="E50" s="541">
        <v>442</v>
      </c>
      <c r="F50" s="541">
        <v>18098</v>
      </c>
      <c r="G50" s="542"/>
      <c r="N50" s="606"/>
      <c r="P50" s="596"/>
      <c r="Q50" s="512"/>
      <c r="R50" s="512"/>
      <c r="S50" s="512"/>
    </row>
    <row r="51" spans="2:19" s="513" customFormat="1" ht="13.8">
      <c r="B51" s="597" t="s">
        <v>26</v>
      </c>
      <c r="C51" s="540">
        <v>719</v>
      </c>
      <c r="D51" s="540">
        <v>172164</v>
      </c>
      <c r="E51" s="541">
        <v>43</v>
      </c>
      <c r="F51" s="541">
        <v>4931</v>
      </c>
      <c r="G51" s="542"/>
      <c r="N51" s="606"/>
      <c r="P51" s="596"/>
      <c r="Q51" s="512"/>
      <c r="R51" s="512"/>
      <c r="S51" s="512"/>
    </row>
    <row r="52" spans="2:19" s="513" customFormat="1" ht="13.8">
      <c r="B52" s="597" t="s">
        <v>255</v>
      </c>
      <c r="C52" s="540">
        <v>412</v>
      </c>
      <c r="D52" s="540">
        <v>116125</v>
      </c>
      <c r="E52" s="541">
        <v>9</v>
      </c>
      <c r="F52" s="541">
        <v>561</v>
      </c>
      <c r="G52" s="542"/>
      <c r="N52" s="606"/>
      <c r="P52" s="596"/>
      <c r="Q52" s="512"/>
      <c r="R52" s="512"/>
      <c r="S52" s="512"/>
    </row>
    <row r="53" spans="2:19" s="513" customFormat="1" ht="14.4" thickBot="1">
      <c r="B53" s="597" t="s">
        <v>256</v>
      </c>
      <c r="C53" s="543">
        <v>427</v>
      </c>
      <c r="D53" s="543">
        <v>205966</v>
      </c>
      <c r="E53" s="544">
        <v>33</v>
      </c>
      <c r="F53" s="544" t="s">
        <v>274</v>
      </c>
      <c r="G53" s="542"/>
      <c r="N53" s="606"/>
      <c r="P53" s="596"/>
      <c r="Q53" s="512"/>
      <c r="R53" s="512"/>
      <c r="S53" s="512"/>
    </row>
    <row r="54" spans="2:19" s="513" customFormat="1" ht="14.4" thickTop="1">
      <c r="B54" s="598" t="s">
        <v>261</v>
      </c>
      <c r="C54" s="546">
        <f>SUM(C50:C53)</f>
        <v>2523</v>
      </c>
      <c r="D54" s="546">
        <f>SUM(D50:D53)</f>
        <v>572772</v>
      </c>
      <c r="E54" s="547">
        <f>SUM(E50:E53)</f>
        <v>527</v>
      </c>
      <c r="F54" s="547">
        <f>SUM(F50:F53)</f>
        <v>23590</v>
      </c>
      <c r="G54" s="548">
        <f>F54/(D54+F54)</f>
        <v>3.9556510978231339E-2</v>
      </c>
      <c r="N54" s="606"/>
      <c r="P54" s="596"/>
      <c r="Q54" s="512"/>
      <c r="R54" s="512"/>
      <c r="S54" s="512"/>
    </row>
    <row r="55" spans="2:19" s="513" customFormat="1" ht="13.8">
      <c r="B55" s="599"/>
      <c r="C55" s="550"/>
      <c r="D55" s="550"/>
      <c r="E55" s="550"/>
      <c r="F55" s="550"/>
      <c r="G55" s="566"/>
      <c r="N55" s="606"/>
      <c r="P55" s="596"/>
      <c r="Q55" s="512"/>
      <c r="R55" s="512"/>
      <c r="S55" s="512"/>
    </row>
    <row r="56" spans="2:19" s="512" customFormat="1" ht="13.8">
      <c r="C56" s="513"/>
      <c r="D56" s="513"/>
      <c r="E56" s="513"/>
      <c r="F56" s="513"/>
      <c r="G56" s="513"/>
      <c r="N56" s="560"/>
      <c r="P56" s="554"/>
    </row>
    <row r="57" spans="2:19" s="512" customFormat="1" ht="13.8">
      <c r="C57" s="513"/>
      <c r="D57" s="513"/>
      <c r="E57" s="513"/>
      <c r="F57" s="513"/>
      <c r="G57" s="513"/>
      <c r="N57" s="560"/>
      <c r="P57" s="554"/>
    </row>
  </sheetData>
  <mergeCells count="83">
    <mergeCell ref="B2:D2"/>
    <mergeCell ref="N3:N5"/>
    <mergeCell ref="B3:B4"/>
    <mergeCell ref="C3:C5"/>
    <mergeCell ref="D3:D5"/>
    <mergeCell ref="E3:E5"/>
    <mergeCell ref="F3:F5"/>
    <mergeCell ref="H3:H5"/>
    <mergeCell ref="I3:I5"/>
    <mergeCell ref="J3:J5"/>
    <mergeCell ref="K3:K5"/>
    <mergeCell ref="L3:L5"/>
    <mergeCell ref="M3:M5"/>
    <mergeCell ref="G3:G5"/>
    <mergeCell ref="O3:O5"/>
    <mergeCell ref="Q3:Q5"/>
    <mergeCell ref="R3:R5"/>
    <mergeCell ref="S3:S5"/>
    <mergeCell ref="Q6:Q11"/>
    <mergeCell ref="R6:R11"/>
    <mergeCell ref="S6:S11"/>
    <mergeCell ref="N13:N15"/>
    <mergeCell ref="B13:B14"/>
    <mergeCell ref="C13:C15"/>
    <mergeCell ref="D13:D15"/>
    <mergeCell ref="E13:E15"/>
    <mergeCell ref="F13:F15"/>
    <mergeCell ref="H13:H15"/>
    <mergeCell ref="I13:I15"/>
    <mergeCell ref="J13:J15"/>
    <mergeCell ref="K13:K15"/>
    <mergeCell ref="L13:L15"/>
    <mergeCell ref="M13:M15"/>
    <mergeCell ref="G13:G15"/>
    <mergeCell ref="O13:O15"/>
    <mergeCell ref="Q13:Q15"/>
    <mergeCell ref="R13:R15"/>
    <mergeCell ref="S13:S15"/>
    <mergeCell ref="Q16:Q21"/>
    <mergeCell ref="R16:R21"/>
    <mergeCell ref="S16:S21"/>
    <mergeCell ref="B23:B24"/>
    <mergeCell ref="C23:C25"/>
    <mergeCell ref="D23:D25"/>
    <mergeCell ref="E23:E25"/>
    <mergeCell ref="F23:F25"/>
    <mergeCell ref="L23:L25"/>
    <mergeCell ref="M23:M25"/>
    <mergeCell ref="N23:N25"/>
    <mergeCell ref="H23:H25"/>
    <mergeCell ref="G23:G25"/>
    <mergeCell ref="Q23:Q25"/>
    <mergeCell ref="R23:R25"/>
    <mergeCell ref="S23:S25"/>
    <mergeCell ref="Q26:Q31"/>
    <mergeCell ref="R26:R31"/>
    <mergeCell ref="S26:S31"/>
    <mergeCell ref="O23:O25"/>
    <mergeCell ref="I23:I25"/>
    <mergeCell ref="J23:J25"/>
    <mergeCell ref="K23:K25"/>
    <mergeCell ref="C47:D47"/>
    <mergeCell ref="E47:F47"/>
    <mergeCell ref="G33:G35"/>
    <mergeCell ref="O33:O35"/>
    <mergeCell ref="I33:I35"/>
    <mergeCell ref="J33:J35"/>
    <mergeCell ref="K33:K35"/>
    <mergeCell ref="L33:L35"/>
    <mergeCell ref="M33:M35"/>
    <mergeCell ref="N33:N35"/>
    <mergeCell ref="H33:H35"/>
    <mergeCell ref="F33:F35"/>
    <mergeCell ref="Q36:Q41"/>
    <mergeCell ref="R36:R41"/>
    <mergeCell ref="S36:S41"/>
    <mergeCell ref="B33:B34"/>
    <mergeCell ref="C33:C35"/>
    <mergeCell ref="D33:D35"/>
    <mergeCell ref="E33:E35"/>
    <mergeCell ref="Q33:Q35"/>
    <mergeCell ref="R33:R35"/>
    <mergeCell ref="S33:S35"/>
  </mergeCells>
  <hyperlinks>
    <hyperlink ref="Q42" r:id="rId1"/>
    <hyperlink ref="Q43" r:id="rId2"/>
    <hyperlink ref="K3:K5" r:id="rId3" display="Contributi Ministeriali"/>
    <hyperlink ref="L3:L5" r:id="rId4" display="Detrazione del 19% IRPEF"/>
    <hyperlink ref="M13:M15" r:id="rId5" display="Contributo emergenza covid_120Mln"/>
    <hyperlink ref="M23:M25" r:id="rId6" display="Contributo emergenza covid_120Mln"/>
    <hyperlink ref="M33:M35" r:id="rId7" display="Contributo emergenza covid_120Mln"/>
    <hyperlink ref="M3:M5" r:id="rId8" display="Contributo emergenza covid_180Mln"/>
    <hyperlink ref="I13:I15" r:id="rId9" display="Contributi DAD - DL Cura Italia"/>
    <hyperlink ref="I23:I25" r:id="rId10" display="Contributi DAD - Dl Cura Italia                2Mln"/>
    <hyperlink ref="I33:I35" r:id="rId11" display="Contributi DAD-Dl Cura Italia               2Mln"/>
  </hyperlinks>
  <pageMargins left="0.7" right="0.7" top="0.75" bottom="0.75" header="0.3" footer="0.3"/>
  <pageSetup paperSize="9" orientation="portrait"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70"/>
  <sheetViews>
    <sheetView topLeftCell="A31" workbookViewId="0">
      <selection activeCell="K52" sqref="K52"/>
    </sheetView>
  </sheetViews>
  <sheetFormatPr defaultRowHeight="15.6"/>
  <cols>
    <col min="1" max="1" width="1.5546875" customWidth="1"/>
    <col min="2" max="2" width="18.109375" customWidth="1"/>
    <col min="3" max="3" width="14.109375" style="2" customWidth="1"/>
    <col min="4" max="4" width="14.5546875" style="2" customWidth="1"/>
    <col min="5" max="5" width="13.6640625" style="2" customWidth="1"/>
    <col min="6" max="6" width="15" style="2" customWidth="1"/>
    <col min="7" max="7" width="16.21875" customWidth="1"/>
    <col min="8" max="8" width="16.44140625" customWidth="1"/>
    <col min="9" max="9" width="10.6640625" customWidth="1"/>
    <col min="10" max="11" width="11.6640625" customWidth="1"/>
    <col min="12" max="12" width="19.6640625" customWidth="1"/>
    <col min="13" max="13" width="12.6640625" customWidth="1"/>
    <col min="14" max="14" width="15.6640625" style="66" customWidth="1"/>
    <col min="15" max="15" width="1.77734375" style="491" customWidth="1"/>
    <col min="16" max="16" width="15.6640625" style="66" customWidth="1"/>
    <col min="17" max="17" width="15.6640625" hidden="1" customWidth="1"/>
    <col min="18" max="18" width="17.5546875" customWidth="1"/>
  </cols>
  <sheetData>
    <row r="1" spans="2:18" ht="33" customHeight="1" thickBot="1">
      <c r="F1" s="601"/>
      <c r="G1" s="602"/>
      <c r="H1" s="498" t="s">
        <v>239</v>
      </c>
      <c r="I1" s="602"/>
      <c r="J1" s="602"/>
      <c r="K1" s="602"/>
      <c r="N1" s="495" t="s">
        <v>220</v>
      </c>
    </row>
    <row r="2" spans="2:18" ht="24" customHeight="1">
      <c r="B2" s="2"/>
      <c r="E2" s="506" t="s">
        <v>148</v>
      </c>
      <c r="F2" s="150">
        <f>4641/12</f>
        <v>386.75</v>
      </c>
      <c r="H2" s="500" t="s">
        <v>264</v>
      </c>
      <c r="J2" s="506" t="s">
        <v>278</v>
      </c>
      <c r="K2" s="506" t="s">
        <v>150</v>
      </c>
      <c r="L2" s="500" t="s">
        <v>264</v>
      </c>
      <c r="N2" s="506" t="s">
        <v>152</v>
      </c>
    </row>
    <row r="3" spans="2:18" s="512" customFormat="1" ht="15" customHeight="1">
      <c r="B3" s="638" t="s">
        <v>4</v>
      </c>
      <c r="C3" s="638" t="s">
        <v>210</v>
      </c>
      <c r="D3" s="692" t="s">
        <v>231</v>
      </c>
      <c r="E3" s="663" t="s">
        <v>245</v>
      </c>
      <c r="F3" s="663" t="s">
        <v>283</v>
      </c>
      <c r="G3" s="685" t="s">
        <v>208</v>
      </c>
      <c r="H3" s="665" t="s">
        <v>234</v>
      </c>
      <c r="I3" s="666" t="s">
        <v>209</v>
      </c>
      <c r="J3" s="663" t="s">
        <v>216</v>
      </c>
      <c r="K3" s="664" t="s">
        <v>217</v>
      </c>
      <c r="L3" s="694" t="s">
        <v>218</v>
      </c>
      <c r="M3" s="646" t="s">
        <v>321</v>
      </c>
      <c r="N3" s="638" t="s">
        <v>265</v>
      </c>
      <c r="O3" s="492"/>
      <c r="P3" s="638" t="s">
        <v>214</v>
      </c>
      <c r="Q3" s="638" t="s">
        <v>215</v>
      </c>
      <c r="R3" s="638" t="s">
        <v>275</v>
      </c>
    </row>
    <row r="4" spans="2:18" s="512" customFormat="1" ht="13.8">
      <c r="B4" s="653"/>
      <c r="C4" s="638"/>
      <c r="D4" s="692"/>
      <c r="E4" s="663"/>
      <c r="F4" s="663"/>
      <c r="G4" s="685"/>
      <c r="H4" s="665"/>
      <c r="I4" s="666"/>
      <c r="J4" s="663"/>
      <c r="K4" s="664"/>
      <c r="L4" s="694"/>
      <c r="M4" s="646"/>
      <c r="N4" s="638"/>
      <c r="O4" s="492"/>
      <c r="P4" s="638"/>
      <c r="Q4" s="638"/>
      <c r="R4" s="638"/>
    </row>
    <row r="5" spans="2:18" s="512" customFormat="1" ht="42.6" customHeight="1" thickBot="1">
      <c r="B5" s="567" t="s">
        <v>202</v>
      </c>
      <c r="C5" s="653"/>
      <c r="D5" s="693"/>
      <c r="E5" s="663"/>
      <c r="F5" s="663"/>
      <c r="G5" s="685"/>
      <c r="H5" s="665"/>
      <c r="I5" s="666"/>
      <c r="J5" s="663"/>
      <c r="K5" s="664"/>
      <c r="L5" s="694"/>
      <c r="M5" s="646"/>
      <c r="N5" s="638"/>
      <c r="O5" s="492"/>
      <c r="P5" s="638"/>
      <c r="Q5" s="638"/>
      <c r="R5" s="638"/>
    </row>
    <row r="6" spans="2:18" s="512" customFormat="1" ht="19.5" customHeight="1" thickTop="1" thickBot="1">
      <c r="B6" s="490" t="s">
        <v>203</v>
      </c>
      <c r="C6" s="568">
        <v>250</v>
      </c>
      <c r="D6" s="569">
        <f>P6/3</f>
        <v>1759.3333333333333</v>
      </c>
      <c r="E6" s="502">
        <f>D6*3</f>
        <v>5278</v>
      </c>
      <c r="F6" s="484">
        <v>0</v>
      </c>
      <c r="G6" s="570">
        <v>0</v>
      </c>
      <c r="H6" s="571">
        <v>0</v>
      </c>
      <c r="I6" s="502">
        <v>0</v>
      </c>
      <c r="J6" s="484">
        <v>855</v>
      </c>
      <c r="K6" s="570">
        <v>152</v>
      </c>
      <c r="L6" s="571">
        <f>'SCUOLE IN LOMBARDIA'!H6</f>
        <v>343.49112934158478</v>
      </c>
      <c r="M6" s="572">
        <v>0</v>
      </c>
      <c r="N6" s="484">
        <f>C6+E6-F6-G6-H6-I6-J6-K6-L6-M6</f>
        <v>4177.5088706584156</v>
      </c>
      <c r="O6" s="493"/>
      <c r="P6" s="639">
        <v>5278</v>
      </c>
      <c r="Q6" s="639">
        <v>5278.41</v>
      </c>
      <c r="R6" s="639">
        <v>4500</v>
      </c>
    </row>
    <row r="7" spans="2:18" s="512" customFormat="1" ht="19.5" customHeight="1" thickTop="1">
      <c r="B7" s="483" t="s">
        <v>204</v>
      </c>
      <c r="C7" s="573">
        <f>C6</f>
        <v>250</v>
      </c>
      <c r="D7" s="573">
        <f>D6</f>
        <v>1759.3333333333333</v>
      </c>
      <c r="E7" s="502">
        <f t="shared" ref="E7:E11" si="0">D7*3</f>
        <v>5278</v>
      </c>
      <c r="F7" s="484">
        <v>0</v>
      </c>
      <c r="G7" s="570">
        <v>0</v>
      </c>
      <c r="H7" s="571">
        <v>0</v>
      </c>
      <c r="I7" s="502">
        <v>0</v>
      </c>
      <c r="J7" s="484">
        <v>855</v>
      </c>
      <c r="K7" s="570">
        <v>152</v>
      </c>
      <c r="L7" s="571">
        <f>'SCUOLE IN LOMBARDIA'!H6</f>
        <v>343.49112934158478</v>
      </c>
      <c r="M7" s="572">
        <v>0</v>
      </c>
      <c r="N7" s="484">
        <f t="shared" ref="N7:N11" si="1">C7+E7-F7-G7-H7-I7-J7-K7-L7-M7</f>
        <v>4177.5088706584156</v>
      </c>
      <c r="O7" s="493"/>
      <c r="P7" s="640"/>
      <c r="Q7" s="640"/>
      <c r="R7" s="640"/>
    </row>
    <row r="8" spans="2:18" s="512" customFormat="1" ht="19.5" customHeight="1">
      <c r="B8" s="483" t="s">
        <v>206</v>
      </c>
      <c r="C8" s="574">
        <f>C6</f>
        <v>250</v>
      </c>
      <c r="D8" s="574">
        <f>D6</f>
        <v>1759.3333333333333</v>
      </c>
      <c r="E8" s="502">
        <f t="shared" si="0"/>
        <v>5278</v>
      </c>
      <c r="F8" s="484">
        <v>0</v>
      </c>
      <c r="G8" s="570">
        <v>0</v>
      </c>
      <c r="H8" s="571">
        <v>0</v>
      </c>
      <c r="I8" s="502">
        <v>0</v>
      </c>
      <c r="J8" s="484">
        <v>855</v>
      </c>
      <c r="K8" s="570">
        <v>152</v>
      </c>
      <c r="L8" s="571">
        <f>L6</f>
        <v>343.49112934158478</v>
      </c>
      <c r="M8" s="572">
        <v>0</v>
      </c>
      <c r="N8" s="484">
        <f t="shared" si="1"/>
        <v>4177.5088706584156</v>
      </c>
      <c r="O8" s="493"/>
      <c r="P8" s="640"/>
      <c r="Q8" s="640"/>
      <c r="R8" s="640"/>
    </row>
    <row r="9" spans="2:18" s="512" customFormat="1" ht="19.5" customHeight="1">
      <c r="B9" s="483" t="s">
        <v>207</v>
      </c>
      <c r="C9" s="574">
        <f>C6</f>
        <v>250</v>
      </c>
      <c r="D9" s="574">
        <f>D6</f>
        <v>1759.3333333333333</v>
      </c>
      <c r="E9" s="502">
        <f t="shared" si="0"/>
        <v>5278</v>
      </c>
      <c r="F9" s="484">
        <v>0</v>
      </c>
      <c r="G9" s="570">
        <f>G6</f>
        <v>0</v>
      </c>
      <c r="H9" s="571">
        <v>0</v>
      </c>
      <c r="I9" s="502">
        <v>0</v>
      </c>
      <c r="J9" s="484">
        <v>855</v>
      </c>
      <c r="K9" s="570">
        <v>152</v>
      </c>
      <c r="L9" s="571">
        <f>L6</f>
        <v>343.49112934158478</v>
      </c>
      <c r="M9" s="572">
        <v>0</v>
      </c>
      <c r="N9" s="484">
        <f t="shared" si="1"/>
        <v>4177.5088706584156</v>
      </c>
      <c r="O9" s="493"/>
      <c r="P9" s="640"/>
      <c r="Q9" s="640"/>
      <c r="R9" s="640"/>
    </row>
    <row r="10" spans="2:18" s="512" customFormat="1" ht="19.5" customHeight="1">
      <c r="B10" s="483" t="s">
        <v>205</v>
      </c>
      <c r="C10" s="574">
        <f>C6</f>
        <v>250</v>
      </c>
      <c r="D10" s="574">
        <f>D6</f>
        <v>1759.3333333333333</v>
      </c>
      <c r="E10" s="502">
        <f t="shared" si="0"/>
        <v>5278</v>
      </c>
      <c r="F10" s="484">
        <v>0</v>
      </c>
      <c r="G10" s="570">
        <f>G6</f>
        <v>0</v>
      </c>
      <c r="H10" s="571">
        <v>0</v>
      </c>
      <c r="I10" s="502">
        <v>0</v>
      </c>
      <c r="J10" s="484">
        <v>855</v>
      </c>
      <c r="K10" s="570">
        <v>152</v>
      </c>
      <c r="L10" s="571">
        <f>L6</f>
        <v>343.49112934158478</v>
      </c>
      <c r="M10" s="572">
        <v>0</v>
      </c>
      <c r="N10" s="484">
        <f t="shared" si="1"/>
        <v>4177.5088706584156</v>
      </c>
      <c r="O10" s="493"/>
      <c r="P10" s="640"/>
      <c r="Q10" s="640"/>
      <c r="R10" s="640"/>
    </row>
    <row r="11" spans="2:18" s="512" customFormat="1" ht="19.5" customHeight="1">
      <c r="B11" s="508" t="s">
        <v>295</v>
      </c>
      <c r="C11" s="574">
        <f>C6</f>
        <v>250</v>
      </c>
      <c r="D11" s="574">
        <f>D6</f>
        <v>1759.3333333333333</v>
      </c>
      <c r="E11" s="502">
        <f t="shared" si="0"/>
        <v>5278</v>
      </c>
      <c r="F11" s="484">
        <v>0</v>
      </c>
      <c r="G11" s="570">
        <f>G6</f>
        <v>0</v>
      </c>
      <c r="H11" s="571">
        <v>0</v>
      </c>
      <c r="I11" s="502">
        <v>0</v>
      </c>
      <c r="J11" s="484">
        <v>855</v>
      </c>
      <c r="K11" s="570">
        <v>152</v>
      </c>
      <c r="L11" s="571">
        <f>L6</f>
        <v>343.49112934158478</v>
      </c>
      <c r="M11" s="572">
        <v>0</v>
      </c>
      <c r="N11" s="484">
        <f t="shared" si="1"/>
        <v>4177.5088706584156</v>
      </c>
      <c r="O11" s="493"/>
      <c r="P11" s="641"/>
      <c r="Q11" s="641"/>
      <c r="R11" s="641"/>
    </row>
    <row r="12" spans="2:18" s="512" customFormat="1" ht="19.5" customHeight="1">
      <c r="C12" s="513"/>
      <c r="D12" s="513"/>
      <c r="E12" s="513"/>
      <c r="F12" s="513"/>
      <c r="H12" s="516">
        <v>2000000</v>
      </c>
      <c r="L12" s="559"/>
      <c r="M12" s="560"/>
      <c r="O12" s="554"/>
    </row>
    <row r="13" spans="2:18" s="512" customFormat="1" ht="15" customHeight="1">
      <c r="B13" s="637" t="s">
        <v>5</v>
      </c>
      <c r="C13" s="637" t="s">
        <v>210</v>
      </c>
      <c r="D13" s="637" t="s">
        <v>231</v>
      </c>
      <c r="E13" s="637" t="s">
        <v>245</v>
      </c>
      <c r="F13" s="671" t="s">
        <v>284</v>
      </c>
      <c r="G13" s="684" t="s">
        <v>208</v>
      </c>
      <c r="H13" s="672" t="s">
        <v>234</v>
      </c>
      <c r="I13" s="667" t="s">
        <v>209</v>
      </c>
      <c r="J13" s="631" t="s">
        <v>216</v>
      </c>
      <c r="K13" s="647" t="s">
        <v>217</v>
      </c>
      <c r="L13" s="672" t="s">
        <v>219</v>
      </c>
      <c r="M13" s="654"/>
      <c r="N13" s="637" t="s">
        <v>265</v>
      </c>
      <c r="O13" s="492"/>
      <c r="P13" s="637" t="s">
        <v>214</v>
      </c>
      <c r="Q13" s="631" t="s">
        <v>215</v>
      </c>
      <c r="R13" s="631" t="s">
        <v>230</v>
      </c>
    </row>
    <row r="14" spans="2:18" s="512" customFormat="1" ht="15" customHeight="1">
      <c r="B14" s="631"/>
      <c r="C14" s="637"/>
      <c r="D14" s="637"/>
      <c r="E14" s="637"/>
      <c r="F14" s="671"/>
      <c r="G14" s="684"/>
      <c r="H14" s="672"/>
      <c r="I14" s="667"/>
      <c r="J14" s="632"/>
      <c r="K14" s="648"/>
      <c r="L14" s="672"/>
      <c r="M14" s="654"/>
      <c r="N14" s="637"/>
      <c r="O14" s="492"/>
      <c r="P14" s="637"/>
      <c r="Q14" s="632"/>
      <c r="R14" s="632"/>
    </row>
    <row r="15" spans="2:18" s="512" customFormat="1" ht="33.6" customHeight="1" thickBot="1">
      <c r="B15" s="575" t="s">
        <v>202</v>
      </c>
      <c r="C15" s="637"/>
      <c r="D15" s="637"/>
      <c r="E15" s="637"/>
      <c r="F15" s="671"/>
      <c r="G15" s="684"/>
      <c r="H15" s="672"/>
      <c r="I15" s="667"/>
      <c r="J15" s="633"/>
      <c r="K15" s="649"/>
      <c r="L15" s="672"/>
      <c r="M15" s="654"/>
      <c r="N15" s="637"/>
      <c r="O15" s="492"/>
      <c r="P15" s="637"/>
      <c r="Q15" s="633"/>
      <c r="R15" s="633"/>
    </row>
    <row r="16" spans="2:18" s="512" customFormat="1" ht="19.5" customHeight="1" thickTop="1" thickBot="1">
      <c r="B16" s="485" t="s">
        <v>203</v>
      </c>
      <c r="C16" s="568">
        <v>250</v>
      </c>
      <c r="D16" s="569">
        <f>P16/3</f>
        <v>1901.49</v>
      </c>
      <c r="E16" s="482">
        <f>D16*3</f>
        <v>5704.47</v>
      </c>
      <c r="F16" s="482">
        <v>900</v>
      </c>
      <c r="G16" s="576">
        <v>0</v>
      </c>
      <c r="H16" s="578">
        <v>2</v>
      </c>
      <c r="I16" s="577">
        <v>0</v>
      </c>
      <c r="J16" s="482">
        <v>360</v>
      </c>
      <c r="K16" s="576">
        <v>0</v>
      </c>
      <c r="L16" s="578">
        <f>'SCUOLE IN LOMBARDIA'!H7</f>
        <v>350.08489558717991</v>
      </c>
      <c r="M16" s="579"/>
      <c r="N16" s="482">
        <f>C16+E16-F16-G16-H16-I16-J16-K16-L16-M16</f>
        <v>4342.3851044128205</v>
      </c>
      <c r="O16" s="493"/>
      <c r="P16" s="634">
        <v>5704.47</v>
      </c>
      <c r="Q16" s="634">
        <v>5704.47</v>
      </c>
      <c r="R16" s="634">
        <v>4851</v>
      </c>
    </row>
    <row r="17" spans="2:18" s="512" customFormat="1" ht="19.5" customHeight="1" thickTop="1">
      <c r="B17" s="485" t="s">
        <v>285</v>
      </c>
      <c r="C17" s="574">
        <f>C16</f>
        <v>250</v>
      </c>
      <c r="D17" s="574">
        <f>D16</f>
        <v>1901.49</v>
      </c>
      <c r="E17" s="482">
        <f t="shared" ref="E17:E20" si="2">D17*3</f>
        <v>5704.47</v>
      </c>
      <c r="F17" s="482">
        <v>900</v>
      </c>
      <c r="G17" s="576">
        <v>0</v>
      </c>
      <c r="H17" s="578">
        <v>2</v>
      </c>
      <c r="I17" s="577">
        <v>0</v>
      </c>
      <c r="J17" s="482">
        <v>360</v>
      </c>
      <c r="K17" s="576">
        <v>0</v>
      </c>
      <c r="L17" s="578">
        <f>L16</f>
        <v>350.08489558717991</v>
      </c>
      <c r="M17" s="579"/>
      <c r="N17" s="482">
        <f t="shared" ref="N17:N20" si="3">C17+E17-F17-G17-H17-I17-J17-K17-L17-M17</f>
        <v>4342.3851044128205</v>
      </c>
      <c r="O17" s="493"/>
      <c r="P17" s="635"/>
      <c r="Q17" s="635"/>
      <c r="R17" s="635"/>
    </row>
    <row r="18" spans="2:18" s="512" customFormat="1" ht="19.5" customHeight="1">
      <c r="B18" s="485" t="s">
        <v>286</v>
      </c>
      <c r="C18" s="574">
        <f>C16</f>
        <v>250</v>
      </c>
      <c r="D18" s="574">
        <f>D16</f>
        <v>1901.49</v>
      </c>
      <c r="E18" s="482">
        <f t="shared" si="2"/>
        <v>5704.47</v>
      </c>
      <c r="F18" s="482">
        <v>390</v>
      </c>
      <c r="G18" s="576">
        <v>0</v>
      </c>
      <c r="H18" s="578">
        <v>2</v>
      </c>
      <c r="I18" s="577">
        <v>0</v>
      </c>
      <c r="J18" s="482">
        <v>360</v>
      </c>
      <c r="K18" s="576">
        <v>0</v>
      </c>
      <c r="L18" s="578">
        <f>L16</f>
        <v>350.08489558717991</v>
      </c>
      <c r="M18" s="579"/>
      <c r="N18" s="482">
        <f t="shared" si="3"/>
        <v>4852.3851044128205</v>
      </c>
      <c r="O18" s="493"/>
      <c r="P18" s="635"/>
      <c r="Q18" s="635"/>
      <c r="R18" s="635"/>
    </row>
    <row r="19" spans="2:18" s="512" customFormat="1" ht="19.5" customHeight="1">
      <c r="B19" s="485" t="s">
        <v>287</v>
      </c>
      <c r="C19" s="574">
        <f>C16</f>
        <v>250</v>
      </c>
      <c r="D19" s="574">
        <f>D16</f>
        <v>1901.49</v>
      </c>
      <c r="E19" s="482">
        <f t="shared" si="2"/>
        <v>5704.47</v>
      </c>
      <c r="F19" s="482">
        <v>310</v>
      </c>
      <c r="G19" s="576">
        <v>0</v>
      </c>
      <c r="H19" s="578">
        <v>2</v>
      </c>
      <c r="I19" s="577">
        <v>0</v>
      </c>
      <c r="J19" s="482">
        <v>360</v>
      </c>
      <c r="K19" s="576">
        <v>0</v>
      </c>
      <c r="L19" s="578">
        <f>L18</f>
        <v>350.08489558717991</v>
      </c>
      <c r="M19" s="579"/>
      <c r="N19" s="482">
        <f t="shared" si="3"/>
        <v>4932.3851044128205</v>
      </c>
      <c r="O19" s="493"/>
      <c r="P19" s="635"/>
      <c r="Q19" s="635"/>
      <c r="R19" s="635"/>
    </row>
    <row r="20" spans="2:18" s="512" customFormat="1" ht="19.5" customHeight="1">
      <c r="B20" s="509" t="s">
        <v>295</v>
      </c>
      <c r="C20" s="574">
        <f>C16</f>
        <v>250</v>
      </c>
      <c r="D20" s="574">
        <f>D16</f>
        <v>1901.49</v>
      </c>
      <c r="E20" s="482">
        <f t="shared" si="2"/>
        <v>5704.47</v>
      </c>
      <c r="F20" s="482">
        <v>0</v>
      </c>
      <c r="G20" s="576">
        <v>0</v>
      </c>
      <c r="H20" s="578">
        <v>2</v>
      </c>
      <c r="I20" s="577">
        <v>0</v>
      </c>
      <c r="J20" s="482">
        <v>360</v>
      </c>
      <c r="K20" s="576">
        <v>0</v>
      </c>
      <c r="L20" s="578">
        <f>L19</f>
        <v>350.08489558717991</v>
      </c>
      <c r="M20" s="579"/>
      <c r="N20" s="482">
        <f t="shared" si="3"/>
        <v>5242.3851044128205</v>
      </c>
      <c r="O20" s="493"/>
      <c r="P20" s="636"/>
      <c r="Q20" s="636"/>
      <c r="R20" s="636"/>
    </row>
    <row r="21" spans="2:18" s="512" customFormat="1" ht="19.5" customHeight="1">
      <c r="C21" s="513"/>
      <c r="D21" s="513"/>
      <c r="E21" s="513"/>
      <c r="F21" s="513"/>
      <c r="H21" s="559"/>
      <c r="L21" s="559"/>
      <c r="M21" s="560"/>
      <c r="O21" s="554"/>
    </row>
    <row r="22" spans="2:18" s="517" customFormat="1" ht="15" customHeight="1">
      <c r="B22" s="627" t="s">
        <v>211</v>
      </c>
      <c r="C22" s="627" t="s">
        <v>210</v>
      </c>
      <c r="D22" s="627" t="s">
        <v>232</v>
      </c>
      <c r="E22" s="627" t="s">
        <v>245</v>
      </c>
      <c r="F22" s="627" t="s">
        <v>284</v>
      </c>
      <c r="G22" s="660" t="s">
        <v>208</v>
      </c>
      <c r="H22" s="661" t="s">
        <v>235</v>
      </c>
      <c r="I22" s="658" t="s">
        <v>209</v>
      </c>
      <c r="J22" s="627" t="s">
        <v>216</v>
      </c>
      <c r="K22" s="660" t="s">
        <v>217</v>
      </c>
      <c r="L22" s="661" t="s">
        <v>219</v>
      </c>
      <c r="M22" s="662"/>
      <c r="N22" s="627" t="s">
        <v>265</v>
      </c>
      <c r="O22" s="492"/>
      <c r="P22" s="627" t="s">
        <v>214</v>
      </c>
      <c r="Q22" s="627" t="s">
        <v>215</v>
      </c>
      <c r="R22" s="627" t="s">
        <v>275</v>
      </c>
    </row>
    <row r="23" spans="2:18" s="517" customFormat="1" ht="17.25" customHeight="1">
      <c r="B23" s="642"/>
      <c r="C23" s="627"/>
      <c r="D23" s="627"/>
      <c r="E23" s="627"/>
      <c r="F23" s="627"/>
      <c r="G23" s="660"/>
      <c r="H23" s="661"/>
      <c r="I23" s="658"/>
      <c r="J23" s="627"/>
      <c r="K23" s="660"/>
      <c r="L23" s="661"/>
      <c r="M23" s="662"/>
      <c r="N23" s="627"/>
      <c r="O23" s="492"/>
      <c r="P23" s="627"/>
      <c r="Q23" s="627"/>
      <c r="R23" s="627"/>
    </row>
    <row r="24" spans="2:18" s="517" customFormat="1" ht="27.6" customHeight="1" thickBot="1">
      <c r="B24" s="580" t="s">
        <v>202</v>
      </c>
      <c r="C24" s="627"/>
      <c r="D24" s="627"/>
      <c r="E24" s="627"/>
      <c r="F24" s="627"/>
      <c r="G24" s="660"/>
      <c r="H24" s="661"/>
      <c r="I24" s="658"/>
      <c r="J24" s="627"/>
      <c r="K24" s="660"/>
      <c r="L24" s="661"/>
      <c r="M24" s="662"/>
      <c r="N24" s="627"/>
      <c r="O24" s="492"/>
      <c r="P24" s="627"/>
      <c r="Q24" s="627"/>
      <c r="R24" s="627"/>
    </row>
    <row r="25" spans="2:18" s="512" customFormat="1" ht="19.5" customHeight="1" thickTop="1" thickBot="1">
      <c r="B25" s="486" t="s">
        <v>203</v>
      </c>
      <c r="C25" s="568">
        <v>250</v>
      </c>
      <c r="D25" s="569">
        <f>P25/3</f>
        <v>2116.0499999999997</v>
      </c>
      <c r="E25" s="489">
        <f>D25*3</f>
        <v>6348.15</v>
      </c>
      <c r="F25" s="489">
        <v>1350</v>
      </c>
      <c r="G25" s="581">
        <v>2000</v>
      </c>
      <c r="H25" s="582">
        <v>2</v>
      </c>
      <c r="I25" s="503">
        <v>0</v>
      </c>
      <c r="J25" s="489">
        <v>295</v>
      </c>
      <c r="K25" s="581">
        <v>0</v>
      </c>
      <c r="L25" s="582">
        <f>L20</f>
        <v>350.08489558717991</v>
      </c>
      <c r="M25" s="583"/>
      <c r="N25" s="489">
        <f>C25+E25-F25-G25-H25-I25-J25-K25-L25-M25</f>
        <v>2601.0651044128199</v>
      </c>
      <c r="O25" s="493"/>
      <c r="P25" s="628">
        <v>6348.15</v>
      </c>
      <c r="Q25" s="628">
        <v>6348.15</v>
      </c>
      <c r="R25" s="628">
        <v>6000</v>
      </c>
    </row>
    <row r="26" spans="2:18" s="512" customFormat="1" ht="19.5" customHeight="1" thickTop="1">
      <c r="B26" s="486" t="s">
        <v>285</v>
      </c>
      <c r="C26" s="574">
        <f t="shared" ref="C26:C27" si="4">C25</f>
        <v>250</v>
      </c>
      <c r="D26" s="574">
        <f>D25</f>
        <v>2116.0499999999997</v>
      </c>
      <c r="E26" s="489">
        <f t="shared" ref="E26:E30" si="5">D26*3</f>
        <v>6348.15</v>
      </c>
      <c r="F26" s="489">
        <v>1350</v>
      </c>
      <c r="G26" s="581">
        <v>2000</v>
      </c>
      <c r="H26" s="582">
        <v>2</v>
      </c>
      <c r="I26" s="503">
        <v>0</v>
      </c>
      <c r="J26" s="489">
        <v>295</v>
      </c>
      <c r="K26" s="581">
        <v>0</v>
      </c>
      <c r="L26" s="582">
        <f>L25</f>
        <v>350.08489558717991</v>
      </c>
      <c r="M26" s="583"/>
      <c r="N26" s="489">
        <f t="shared" ref="N26:N30" si="6">C26+E26-F26-G26-H26-I26-J26-K26-L26-M26</f>
        <v>2601.0651044128199</v>
      </c>
      <c r="O26" s="493"/>
      <c r="P26" s="629"/>
      <c r="Q26" s="629"/>
      <c r="R26" s="629"/>
    </row>
    <row r="27" spans="2:18" s="512" customFormat="1" ht="19.5" customHeight="1">
      <c r="B27" s="486" t="s">
        <v>318</v>
      </c>
      <c r="C27" s="574">
        <f t="shared" si="4"/>
        <v>250</v>
      </c>
      <c r="D27" s="574">
        <f>D25</f>
        <v>2116.0499999999997</v>
      </c>
      <c r="E27" s="489">
        <f t="shared" si="5"/>
        <v>6348.15</v>
      </c>
      <c r="F27" s="489">
        <v>780</v>
      </c>
      <c r="G27" s="581">
        <v>2000</v>
      </c>
      <c r="H27" s="582">
        <v>2</v>
      </c>
      <c r="I27" s="503">
        <v>0</v>
      </c>
      <c r="J27" s="489">
        <v>295</v>
      </c>
      <c r="K27" s="581">
        <v>0</v>
      </c>
      <c r="L27" s="582">
        <f>L26</f>
        <v>350.08489558717991</v>
      </c>
      <c r="M27" s="583"/>
      <c r="N27" s="489">
        <f t="shared" si="6"/>
        <v>3171.0651044128199</v>
      </c>
      <c r="O27" s="493"/>
      <c r="P27" s="629"/>
      <c r="Q27" s="629"/>
      <c r="R27" s="629"/>
    </row>
    <row r="28" spans="2:18" s="512" customFormat="1" ht="19.5" customHeight="1">
      <c r="B28" s="486" t="s">
        <v>319</v>
      </c>
      <c r="C28" s="574">
        <v>250</v>
      </c>
      <c r="D28" s="574">
        <f>D27</f>
        <v>2116.0499999999997</v>
      </c>
      <c r="E28" s="489">
        <f>E27</f>
        <v>6348.15</v>
      </c>
      <c r="F28" s="489">
        <f>F27</f>
        <v>780</v>
      </c>
      <c r="G28" s="581">
        <v>0</v>
      </c>
      <c r="H28" s="582">
        <v>2</v>
      </c>
      <c r="I28" s="503">
        <v>0</v>
      </c>
      <c r="J28" s="489">
        <v>295</v>
      </c>
      <c r="K28" s="581">
        <v>0</v>
      </c>
      <c r="L28" s="582">
        <f>L27</f>
        <v>350.08489558717991</v>
      </c>
      <c r="M28" s="583"/>
      <c r="N28" s="489">
        <f t="shared" si="6"/>
        <v>5171.0651044128199</v>
      </c>
      <c r="O28" s="493"/>
      <c r="P28" s="629"/>
      <c r="Q28" s="629"/>
      <c r="R28" s="629"/>
    </row>
    <row r="29" spans="2:18" s="512" customFormat="1" ht="19.5" customHeight="1">
      <c r="B29" s="486" t="s">
        <v>287</v>
      </c>
      <c r="C29" s="574">
        <f>C27</f>
        <v>250</v>
      </c>
      <c r="D29" s="574">
        <f>D25</f>
        <v>2116.0499999999997</v>
      </c>
      <c r="E29" s="489">
        <f t="shared" si="5"/>
        <v>6348.15</v>
      </c>
      <c r="F29" s="489">
        <v>540</v>
      </c>
      <c r="G29" s="581">
        <v>0</v>
      </c>
      <c r="H29" s="582">
        <v>2</v>
      </c>
      <c r="I29" s="503">
        <v>0</v>
      </c>
      <c r="J29" s="489">
        <v>295</v>
      </c>
      <c r="K29" s="581">
        <v>0</v>
      </c>
      <c r="L29" s="582">
        <f>L27</f>
        <v>350.08489558717991</v>
      </c>
      <c r="M29" s="583"/>
      <c r="N29" s="489">
        <f t="shared" si="6"/>
        <v>5411.0651044128199</v>
      </c>
      <c r="O29" s="493"/>
      <c r="P29" s="629"/>
      <c r="Q29" s="629"/>
      <c r="R29" s="629"/>
    </row>
    <row r="30" spans="2:18" s="512" customFormat="1" ht="19.5" customHeight="1">
      <c r="B30" s="510" t="s">
        <v>295</v>
      </c>
      <c r="C30" s="574">
        <v>250</v>
      </c>
      <c r="D30" s="574">
        <f>D25</f>
        <v>2116.0499999999997</v>
      </c>
      <c r="E30" s="489">
        <f t="shared" si="5"/>
        <v>6348.15</v>
      </c>
      <c r="F30" s="489">
        <v>0</v>
      </c>
      <c r="G30" s="581">
        <v>0</v>
      </c>
      <c r="H30" s="582">
        <v>2</v>
      </c>
      <c r="I30" s="503">
        <v>0</v>
      </c>
      <c r="J30" s="489">
        <v>295</v>
      </c>
      <c r="K30" s="581">
        <v>0</v>
      </c>
      <c r="L30" s="582">
        <f>L29</f>
        <v>350.08489558717991</v>
      </c>
      <c r="M30" s="583"/>
      <c r="N30" s="489">
        <f t="shared" si="6"/>
        <v>5951.0651044128199</v>
      </c>
      <c r="O30" s="493"/>
      <c r="P30" s="630"/>
      <c r="Q30" s="630"/>
      <c r="R30" s="630"/>
    </row>
    <row r="31" spans="2:18" s="512" customFormat="1" ht="19.5" customHeight="1">
      <c r="C31" s="513"/>
      <c r="D31" s="513"/>
      <c r="E31" s="513"/>
      <c r="F31" s="513"/>
      <c r="H31" s="559"/>
      <c r="L31" s="559"/>
      <c r="M31" s="560"/>
      <c r="O31" s="554"/>
    </row>
    <row r="32" spans="2:18" s="512" customFormat="1" ht="15" customHeight="1">
      <c r="B32" s="624" t="s">
        <v>213</v>
      </c>
      <c r="C32" s="624" t="s">
        <v>210</v>
      </c>
      <c r="D32" s="624" t="s">
        <v>233</v>
      </c>
      <c r="E32" s="624" t="s">
        <v>245</v>
      </c>
      <c r="F32" s="624" t="s">
        <v>283</v>
      </c>
      <c r="G32" s="655" t="s">
        <v>208</v>
      </c>
      <c r="H32" s="622" t="s">
        <v>236</v>
      </c>
      <c r="I32" s="623" t="s">
        <v>209</v>
      </c>
      <c r="J32" s="624" t="s">
        <v>216</v>
      </c>
      <c r="K32" s="655" t="s">
        <v>217</v>
      </c>
      <c r="L32" s="622" t="s">
        <v>219</v>
      </c>
      <c r="M32" s="657"/>
      <c r="N32" s="624" t="s">
        <v>265</v>
      </c>
      <c r="O32" s="492"/>
      <c r="P32" s="624" t="s">
        <v>214</v>
      </c>
      <c r="Q32" s="624" t="s">
        <v>215</v>
      </c>
      <c r="R32" s="624" t="s">
        <v>275</v>
      </c>
    </row>
    <row r="33" spans="2:18" s="512" customFormat="1" ht="13.8">
      <c r="B33" s="659"/>
      <c r="C33" s="624"/>
      <c r="D33" s="624"/>
      <c r="E33" s="624"/>
      <c r="F33" s="624"/>
      <c r="G33" s="655"/>
      <c r="H33" s="622"/>
      <c r="I33" s="623"/>
      <c r="J33" s="624"/>
      <c r="K33" s="655"/>
      <c r="L33" s="622"/>
      <c r="M33" s="657"/>
      <c r="N33" s="624"/>
      <c r="O33" s="492"/>
      <c r="P33" s="624"/>
      <c r="Q33" s="624"/>
      <c r="R33" s="624"/>
    </row>
    <row r="34" spans="2:18" s="512" customFormat="1" ht="27" customHeight="1" thickBot="1">
      <c r="B34" s="584" t="s">
        <v>202</v>
      </c>
      <c r="C34" s="624"/>
      <c r="D34" s="624"/>
      <c r="E34" s="624"/>
      <c r="F34" s="624"/>
      <c r="G34" s="655"/>
      <c r="H34" s="622"/>
      <c r="I34" s="623"/>
      <c r="J34" s="624"/>
      <c r="K34" s="655"/>
      <c r="L34" s="622"/>
      <c r="M34" s="657"/>
      <c r="N34" s="624"/>
      <c r="O34" s="492"/>
      <c r="P34" s="624"/>
      <c r="Q34" s="624"/>
      <c r="R34" s="624"/>
    </row>
    <row r="35" spans="2:18" s="512" customFormat="1" ht="19.5" customHeight="1" thickTop="1" thickBot="1">
      <c r="B35" s="487" t="s">
        <v>203</v>
      </c>
      <c r="C35" s="568">
        <v>250</v>
      </c>
      <c r="D35" s="569">
        <f>P35/3</f>
        <v>2231.33</v>
      </c>
      <c r="E35" s="488">
        <f>D35*3</f>
        <v>6693.99</v>
      </c>
      <c r="F35" s="488">
        <v>1950</v>
      </c>
      <c r="G35" s="585">
        <v>2000</v>
      </c>
      <c r="H35" s="586">
        <v>2</v>
      </c>
      <c r="I35" s="504">
        <v>0</v>
      </c>
      <c r="J35" s="488">
        <v>227</v>
      </c>
      <c r="K35" s="585">
        <v>152</v>
      </c>
      <c r="L35" s="586">
        <f>L30</f>
        <v>350.08489558717991</v>
      </c>
      <c r="M35" s="587"/>
      <c r="N35" s="488">
        <f>C35+E35-F35-G35-H35-I35-J35-K35-L35-M35</f>
        <v>2262.90510441282</v>
      </c>
      <c r="O35" s="493"/>
      <c r="P35" s="616">
        <v>6693.99</v>
      </c>
      <c r="Q35" s="616">
        <v>6693.99</v>
      </c>
      <c r="R35" s="616">
        <v>6200</v>
      </c>
    </row>
    <row r="36" spans="2:18" s="512" customFormat="1" ht="19.5" customHeight="1" thickTop="1">
      <c r="B36" s="487" t="s">
        <v>285</v>
      </c>
      <c r="C36" s="574">
        <f t="shared" ref="C36:C37" si="7">C35</f>
        <v>250</v>
      </c>
      <c r="D36" s="574">
        <f>D35</f>
        <v>2231.33</v>
      </c>
      <c r="E36" s="488">
        <f t="shared" ref="E36:E40" si="8">D36*3</f>
        <v>6693.99</v>
      </c>
      <c r="F36" s="488">
        <v>1950</v>
      </c>
      <c r="G36" s="585">
        <v>2000</v>
      </c>
      <c r="H36" s="586">
        <v>2</v>
      </c>
      <c r="I36" s="504">
        <v>0</v>
      </c>
      <c r="J36" s="488">
        <v>227</v>
      </c>
      <c r="K36" s="585">
        <v>152</v>
      </c>
      <c r="L36" s="586">
        <f>L30</f>
        <v>350.08489558717991</v>
      </c>
      <c r="M36" s="587"/>
      <c r="N36" s="488">
        <f t="shared" ref="N36:N40" si="9">C36+E36-F36-G36-H36-I36-J36-K36-L36-M36</f>
        <v>2262.90510441282</v>
      </c>
      <c r="O36" s="493"/>
      <c r="P36" s="617"/>
      <c r="Q36" s="617"/>
      <c r="R36" s="617"/>
    </row>
    <row r="37" spans="2:18" s="512" customFormat="1" ht="19.5" customHeight="1">
      <c r="B37" s="487" t="s">
        <v>318</v>
      </c>
      <c r="C37" s="574">
        <f t="shared" si="7"/>
        <v>250</v>
      </c>
      <c r="D37" s="574">
        <f>D35</f>
        <v>2231.33</v>
      </c>
      <c r="E37" s="488">
        <f t="shared" si="8"/>
        <v>6693.99</v>
      </c>
      <c r="F37" s="488">
        <v>1150</v>
      </c>
      <c r="G37" s="585">
        <v>2000</v>
      </c>
      <c r="H37" s="586">
        <v>2</v>
      </c>
      <c r="I37" s="504">
        <v>0</v>
      </c>
      <c r="J37" s="488">
        <v>227</v>
      </c>
      <c r="K37" s="585">
        <v>152</v>
      </c>
      <c r="L37" s="586">
        <f>L30</f>
        <v>350.08489558717991</v>
      </c>
      <c r="M37" s="587"/>
      <c r="N37" s="488">
        <f t="shared" si="9"/>
        <v>3062.90510441282</v>
      </c>
      <c r="O37" s="493"/>
      <c r="P37" s="617"/>
      <c r="Q37" s="617"/>
      <c r="R37" s="617"/>
    </row>
    <row r="38" spans="2:18" s="512" customFormat="1" ht="19.5" customHeight="1">
      <c r="B38" s="487" t="s">
        <v>319</v>
      </c>
      <c r="C38" s="574">
        <f>C37</f>
        <v>250</v>
      </c>
      <c r="D38" s="574">
        <f>D37</f>
        <v>2231.33</v>
      </c>
      <c r="E38" s="488">
        <f>E37</f>
        <v>6693.99</v>
      </c>
      <c r="F38" s="488">
        <f>F37</f>
        <v>1150</v>
      </c>
      <c r="G38" s="585">
        <v>0</v>
      </c>
      <c r="H38" s="586">
        <f>H37</f>
        <v>2</v>
      </c>
      <c r="I38" s="504">
        <v>0</v>
      </c>
      <c r="J38" s="488">
        <v>227</v>
      </c>
      <c r="K38" s="585">
        <v>152</v>
      </c>
      <c r="L38" s="586">
        <f>L37</f>
        <v>350.08489558717991</v>
      </c>
      <c r="M38" s="587"/>
      <c r="N38" s="488">
        <f t="shared" si="9"/>
        <v>5062.90510441282</v>
      </c>
      <c r="O38" s="493"/>
      <c r="P38" s="617"/>
      <c r="Q38" s="617"/>
      <c r="R38" s="617"/>
    </row>
    <row r="39" spans="2:18" s="512" customFormat="1" ht="19.5" customHeight="1">
      <c r="B39" s="487" t="s">
        <v>287</v>
      </c>
      <c r="C39" s="574">
        <f>C37</f>
        <v>250</v>
      </c>
      <c r="D39" s="574">
        <f>D35</f>
        <v>2231.33</v>
      </c>
      <c r="E39" s="488">
        <f t="shared" si="8"/>
        <v>6693.99</v>
      </c>
      <c r="F39" s="488">
        <v>780</v>
      </c>
      <c r="G39" s="585">
        <v>0</v>
      </c>
      <c r="H39" s="586">
        <v>2</v>
      </c>
      <c r="I39" s="504">
        <v>0</v>
      </c>
      <c r="J39" s="488">
        <v>227</v>
      </c>
      <c r="K39" s="585">
        <v>152</v>
      </c>
      <c r="L39" s="586">
        <f>L30</f>
        <v>350.08489558717991</v>
      </c>
      <c r="M39" s="587"/>
      <c r="N39" s="488">
        <f t="shared" si="9"/>
        <v>5432.90510441282</v>
      </c>
      <c r="O39" s="493"/>
      <c r="P39" s="617"/>
      <c r="Q39" s="617"/>
      <c r="R39" s="617"/>
    </row>
    <row r="40" spans="2:18" s="512" customFormat="1" ht="19.5" customHeight="1" thickBot="1">
      <c r="B40" s="511" t="s">
        <v>295</v>
      </c>
      <c r="C40" s="574">
        <v>250</v>
      </c>
      <c r="D40" s="574">
        <f>D35</f>
        <v>2231.33</v>
      </c>
      <c r="E40" s="488">
        <f t="shared" si="8"/>
        <v>6693.99</v>
      </c>
      <c r="F40" s="488">
        <v>0</v>
      </c>
      <c r="G40" s="585">
        <v>0</v>
      </c>
      <c r="H40" s="588">
        <v>2</v>
      </c>
      <c r="I40" s="504">
        <v>0</v>
      </c>
      <c r="J40" s="488">
        <v>227</v>
      </c>
      <c r="K40" s="585">
        <v>152</v>
      </c>
      <c r="L40" s="588">
        <f>L39</f>
        <v>350.08489558717991</v>
      </c>
      <c r="M40" s="587"/>
      <c r="N40" s="488">
        <f t="shared" si="9"/>
        <v>6212.90510441282</v>
      </c>
      <c r="O40" s="493"/>
      <c r="P40" s="618"/>
      <c r="Q40" s="618"/>
      <c r="R40" s="618"/>
    </row>
    <row r="41" spans="2:18" s="512" customFormat="1" ht="15" customHeight="1">
      <c r="B41" s="518" t="s">
        <v>281</v>
      </c>
      <c r="C41" s="513"/>
      <c r="D41" s="513"/>
      <c r="E41" s="513"/>
      <c r="F41" s="513"/>
      <c r="N41" s="507"/>
      <c r="O41" s="554"/>
    </row>
    <row r="42" spans="2:18" s="512" customFormat="1" ht="15" customHeight="1">
      <c r="B42" s="518" t="s">
        <v>279</v>
      </c>
      <c r="C42" s="513"/>
      <c r="D42" s="513"/>
      <c r="E42" s="513"/>
      <c r="F42" s="513"/>
      <c r="N42" s="501"/>
      <c r="O42" s="554"/>
      <c r="P42" s="519" t="s">
        <v>214</v>
      </c>
    </row>
    <row r="43" spans="2:18" s="512" customFormat="1" ht="15" customHeight="1">
      <c r="B43" s="518" t="s">
        <v>322</v>
      </c>
      <c r="C43" s="589"/>
      <c r="D43" s="589"/>
      <c r="E43" s="589"/>
      <c r="F43" s="589"/>
      <c r="O43" s="554"/>
      <c r="P43" s="519" t="s">
        <v>276</v>
      </c>
    </row>
    <row r="44" spans="2:18" s="512" customFormat="1" ht="15" customHeight="1">
      <c r="B44" s="512" t="s">
        <v>324</v>
      </c>
      <c r="C44" s="513"/>
      <c r="D44" s="513"/>
      <c r="E44" s="513"/>
      <c r="F44" s="513"/>
      <c r="O44" s="554"/>
      <c r="P44" s="519"/>
    </row>
    <row r="45" spans="2:18" s="512" customFormat="1" ht="15" customHeight="1">
      <c r="C45" s="513"/>
      <c r="D45" s="513"/>
      <c r="E45" s="513"/>
      <c r="F45" s="513"/>
      <c r="O45" s="554"/>
      <c r="P45" s="519"/>
    </row>
    <row r="46" spans="2:18" s="512" customFormat="1" ht="18.600000000000001" customHeight="1">
      <c r="B46" s="564" t="s">
        <v>323</v>
      </c>
      <c r="D46" s="513"/>
      <c r="E46" s="513"/>
      <c r="F46" s="513"/>
      <c r="O46" s="554"/>
      <c r="P46" s="519"/>
    </row>
    <row r="47" spans="2:18" s="512" customFormat="1" ht="13.8">
      <c r="C47" s="513"/>
      <c r="D47" s="513"/>
      <c r="E47" s="513"/>
      <c r="F47" s="513"/>
      <c r="O47" s="554"/>
    </row>
    <row r="48" spans="2:18" s="512" customFormat="1" ht="13.8">
      <c r="B48" s="534" t="s">
        <v>288</v>
      </c>
      <c r="C48" s="619" t="s">
        <v>259</v>
      </c>
      <c r="D48" s="619"/>
      <c r="E48" s="620" t="s">
        <v>260</v>
      </c>
      <c r="F48" s="621"/>
      <c r="G48" s="535" t="s">
        <v>289</v>
      </c>
      <c r="O48" s="554"/>
    </row>
    <row r="49" spans="2:16" s="512" customFormat="1" ht="13.8">
      <c r="B49" s="592" t="s">
        <v>277</v>
      </c>
      <c r="C49" s="536" t="s">
        <v>257</v>
      </c>
      <c r="D49" s="536" t="s">
        <v>258</v>
      </c>
      <c r="E49" s="537" t="s">
        <v>257</v>
      </c>
      <c r="F49" s="537" t="s">
        <v>258</v>
      </c>
      <c r="G49" s="538"/>
      <c r="O49" s="554"/>
    </row>
    <row r="50" spans="2:16" s="512" customFormat="1" ht="6.6" customHeight="1">
      <c r="B50" s="592"/>
      <c r="C50" s="536"/>
      <c r="D50" s="536"/>
      <c r="E50" s="537"/>
      <c r="F50" s="537"/>
      <c r="G50" s="538"/>
      <c r="O50" s="554"/>
    </row>
    <row r="51" spans="2:16" s="512" customFormat="1" ht="13.8">
      <c r="B51" s="539" t="s">
        <v>254</v>
      </c>
      <c r="C51" s="540">
        <v>608</v>
      </c>
      <c r="D51" s="540">
        <v>41229</v>
      </c>
      <c r="E51" s="541">
        <v>1114</v>
      </c>
      <c r="F51" s="541">
        <v>75799</v>
      </c>
      <c r="G51" s="542"/>
      <c r="H51" s="600"/>
      <c r="O51" s="554"/>
    </row>
    <row r="52" spans="2:16" s="512" customFormat="1" ht="13.8">
      <c r="B52" s="539" t="s">
        <v>26</v>
      </c>
      <c r="C52" s="540">
        <v>1364</v>
      </c>
      <c r="D52" s="540">
        <v>206837</v>
      </c>
      <c r="E52" s="541">
        <v>94</v>
      </c>
      <c r="F52" s="541">
        <v>12359</v>
      </c>
      <c r="G52" s="542"/>
      <c r="O52" s="554"/>
    </row>
    <row r="53" spans="2:16" s="512" customFormat="1" ht="13.8">
      <c r="B53" s="539" t="s">
        <v>255</v>
      </c>
      <c r="C53" s="540">
        <v>577</v>
      </c>
      <c r="D53" s="540">
        <v>135356</v>
      </c>
      <c r="E53" s="541">
        <v>64</v>
      </c>
      <c r="F53" s="541">
        <v>7041</v>
      </c>
      <c r="G53" s="542"/>
      <c r="O53" s="554"/>
    </row>
    <row r="54" spans="2:16" s="512" customFormat="1" ht="14.4" thickBot="1">
      <c r="B54" s="539" t="s">
        <v>256</v>
      </c>
      <c r="C54" s="543">
        <v>356</v>
      </c>
      <c r="D54" s="543">
        <v>203516</v>
      </c>
      <c r="E54" s="544">
        <v>106</v>
      </c>
      <c r="F54" s="544">
        <v>8674</v>
      </c>
      <c r="G54" s="542"/>
      <c r="O54" s="554"/>
    </row>
    <row r="55" spans="2:16" s="512" customFormat="1" ht="14.4" thickTop="1">
      <c r="B55" s="545" t="s">
        <v>261</v>
      </c>
      <c r="C55" s="546">
        <f>SUM(C51:C54)</f>
        <v>2905</v>
      </c>
      <c r="D55" s="546">
        <f>SUM(D51:D54)</f>
        <v>586938</v>
      </c>
      <c r="E55" s="547">
        <f>SUM(E51:E54)</f>
        <v>1378</v>
      </c>
      <c r="F55" s="547">
        <f>SUM(F51:F54)</f>
        <v>103873</v>
      </c>
      <c r="G55" s="548">
        <f>F55/(D55+F55)</f>
        <v>0.15036384770943137</v>
      </c>
      <c r="H55" s="600"/>
      <c r="O55" s="554"/>
    </row>
    <row r="56" spans="2:16" s="512" customFormat="1" ht="13.8">
      <c r="B56" s="549"/>
      <c r="C56" s="550"/>
      <c r="D56" s="550"/>
      <c r="E56" s="550"/>
      <c r="F56" s="550"/>
      <c r="G56" s="551"/>
      <c r="O56" s="554"/>
    </row>
    <row r="57" spans="2:16" s="512" customFormat="1" ht="13.8">
      <c r="C57" s="513"/>
      <c r="D57" s="513"/>
      <c r="E57" s="513"/>
      <c r="F57" s="513"/>
      <c r="O57" s="554"/>
    </row>
    <row r="58" spans="2:16" s="512" customFormat="1" ht="13.8">
      <c r="C58" s="513"/>
      <c r="D58" s="513"/>
      <c r="E58" s="513"/>
      <c r="F58" s="513"/>
      <c r="O58" s="554"/>
    </row>
    <row r="59" spans="2:16" s="512" customFormat="1">
      <c r="C59" s="513"/>
      <c r="D59" s="513"/>
      <c r="E59" s="513"/>
      <c r="F59" s="513"/>
      <c r="N59" s="515"/>
      <c r="O59" s="514"/>
      <c r="P59" s="515"/>
    </row>
    <row r="60" spans="2:16" s="512" customFormat="1">
      <c r="C60" s="513"/>
      <c r="D60" s="513"/>
      <c r="E60" s="513"/>
      <c r="F60" s="513"/>
      <c r="N60" s="515"/>
      <c r="O60" s="514"/>
      <c r="P60" s="515"/>
    </row>
    <row r="61" spans="2:16" s="512" customFormat="1">
      <c r="C61" s="513"/>
      <c r="D61" s="513"/>
      <c r="E61" s="513"/>
      <c r="F61" s="513"/>
      <c r="N61" s="515"/>
      <c r="O61" s="514"/>
      <c r="P61" s="515"/>
    </row>
    <row r="62" spans="2:16" s="512" customFormat="1">
      <c r="C62" s="513"/>
      <c r="D62" s="513"/>
      <c r="E62" s="513"/>
      <c r="F62" s="513"/>
      <c r="N62" s="515"/>
      <c r="O62" s="514"/>
      <c r="P62" s="515"/>
    </row>
    <row r="63" spans="2:16" s="512" customFormat="1">
      <c r="C63" s="513"/>
      <c r="D63" s="513"/>
      <c r="E63" s="513"/>
      <c r="F63" s="513"/>
      <c r="N63" s="515"/>
      <c r="O63" s="514"/>
      <c r="P63" s="515"/>
    </row>
    <row r="64" spans="2:16" s="512" customFormat="1">
      <c r="C64" s="513"/>
      <c r="D64" s="513"/>
      <c r="E64" s="513"/>
      <c r="F64" s="513"/>
      <c r="N64" s="515"/>
      <c r="O64" s="514"/>
      <c r="P64" s="515"/>
    </row>
    <row r="65" spans="3:16" s="512" customFormat="1">
      <c r="C65" s="513"/>
      <c r="D65" s="513"/>
      <c r="E65" s="513"/>
      <c r="F65" s="513"/>
      <c r="N65" s="515"/>
      <c r="O65" s="514"/>
      <c r="P65" s="515"/>
    </row>
    <row r="66" spans="3:16" s="512" customFormat="1">
      <c r="C66" s="513"/>
      <c r="D66" s="513"/>
      <c r="E66" s="513"/>
      <c r="F66" s="513"/>
      <c r="N66" s="515"/>
      <c r="O66" s="514"/>
      <c r="P66" s="515"/>
    </row>
    <row r="67" spans="3:16" s="512" customFormat="1">
      <c r="C67" s="513"/>
      <c r="D67" s="513"/>
      <c r="E67" s="513"/>
      <c r="F67" s="513"/>
      <c r="N67" s="515"/>
      <c r="O67" s="514"/>
      <c r="P67" s="515"/>
    </row>
    <row r="68" spans="3:16" s="512" customFormat="1">
      <c r="C68" s="513"/>
      <c r="D68" s="513"/>
      <c r="E68" s="513"/>
      <c r="F68" s="513"/>
      <c r="N68" s="515"/>
      <c r="O68" s="514"/>
      <c r="P68" s="515"/>
    </row>
    <row r="69" spans="3:16" s="512" customFormat="1">
      <c r="C69" s="513"/>
      <c r="D69" s="513"/>
      <c r="E69" s="513"/>
      <c r="F69" s="513"/>
      <c r="N69" s="515"/>
      <c r="O69" s="514"/>
      <c r="P69" s="515"/>
    </row>
    <row r="70" spans="3:16" s="512" customFormat="1">
      <c r="C70" s="513"/>
      <c r="D70" s="513"/>
      <c r="E70" s="513"/>
      <c r="F70" s="513"/>
      <c r="N70" s="515"/>
      <c r="O70" s="514"/>
      <c r="P70" s="515"/>
    </row>
  </sheetData>
  <mergeCells count="78">
    <mergeCell ref="M3:M5"/>
    <mergeCell ref="B3:B4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N3:N5"/>
    <mergeCell ref="P3:P5"/>
    <mergeCell ref="Q3:Q5"/>
    <mergeCell ref="R3:R5"/>
    <mergeCell ref="P6:P11"/>
    <mergeCell ref="Q6:Q11"/>
    <mergeCell ref="R6:R11"/>
    <mergeCell ref="M13:M15"/>
    <mergeCell ref="B13:B14"/>
    <mergeCell ref="C13:C15"/>
    <mergeCell ref="D13:D15"/>
    <mergeCell ref="E13:E15"/>
    <mergeCell ref="F13:F15"/>
    <mergeCell ref="G13:G15"/>
    <mergeCell ref="H13:H15"/>
    <mergeCell ref="I13:I15"/>
    <mergeCell ref="J13:J15"/>
    <mergeCell ref="K13:K15"/>
    <mergeCell ref="L13:L15"/>
    <mergeCell ref="N13:N15"/>
    <mergeCell ref="P13:P15"/>
    <mergeCell ref="Q13:Q15"/>
    <mergeCell ref="R13:R15"/>
    <mergeCell ref="P16:P20"/>
    <mergeCell ref="Q16:Q20"/>
    <mergeCell ref="R16:R20"/>
    <mergeCell ref="M22:M24"/>
    <mergeCell ref="B22:B23"/>
    <mergeCell ref="C22:C24"/>
    <mergeCell ref="D22:D24"/>
    <mergeCell ref="E22:E24"/>
    <mergeCell ref="F22:F24"/>
    <mergeCell ref="G22:G24"/>
    <mergeCell ref="H22:H24"/>
    <mergeCell ref="I22:I24"/>
    <mergeCell ref="J22:J24"/>
    <mergeCell ref="K22:K24"/>
    <mergeCell ref="L22:L24"/>
    <mergeCell ref="N22:N24"/>
    <mergeCell ref="P22:P24"/>
    <mergeCell ref="Q22:Q24"/>
    <mergeCell ref="R22:R24"/>
    <mergeCell ref="P25:P30"/>
    <mergeCell ref="Q25:Q30"/>
    <mergeCell ref="R25:R30"/>
    <mergeCell ref="B32:B33"/>
    <mergeCell ref="C32:C34"/>
    <mergeCell ref="D32:D34"/>
    <mergeCell ref="E32:E34"/>
    <mergeCell ref="F32:F34"/>
    <mergeCell ref="R32:R34"/>
    <mergeCell ref="P35:P40"/>
    <mergeCell ref="Q35:Q40"/>
    <mergeCell ref="R35:R40"/>
    <mergeCell ref="H32:H34"/>
    <mergeCell ref="I32:I34"/>
    <mergeCell ref="J32:J34"/>
    <mergeCell ref="K32:K34"/>
    <mergeCell ref="L32:L34"/>
    <mergeCell ref="M32:M34"/>
    <mergeCell ref="C48:D48"/>
    <mergeCell ref="E48:F48"/>
    <mergeCell ref="N32:N34"/>
    <mergeCell ref="P32:P34"/>
    <mergeCell ref="Q32:Q34"/>
    <mergeCell ref="G32:G34"/>
  </mergeCells>
  <hyperlinks>
    <hyperlink ref="E3:E5" r:id="rId1" display="Retta annuale CMS *"/>
    <hyperlink ref="P42" r:id="rId2"/>
    <hyperlink ref="P43" r:id="rId3"/>
    <hyperlink ref="J3:J5" r:id="rId4" display="Contributi Ministeriali"/>
    <hyperlink ref="K3:K5" r:id="rId5" display="Detrazione del 19% IRPEF"/>
    <hyperlink ref="F3:F5" r:id="rId6" location="scuola" display="Buono Scuola - Regione VENETO"/>
    <hyperlink ref="F13:F15" r:id="rId7" display="Buono Scuola- Regione VENETO"/>
    <hyperlink ref="L3:L5" r:id="rId8" display="Contributo emergenza covid_180Mln"/>
    <hyperlink ref="L13:L15" r:id="rId9" display="Contributo emergenza covid_120Mln"/>
    <hyperlink ref="L22:L24" r:id="rId10" display="Contributo emergenza covid_120Mln"/>
    <hyperlink ref="L32:L34" r:id="rId11" display="Contributo emergenza covid_120Mln"/>
  </hyperlinks>
  <pageMargins left="0.7" right="0.7" top="0.75" bottom="0.75" header="0.3" footer="0.3"/>
  <pageSetup paperSize="9" orientation="portrait"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showGridLines="0" topLeftCell="A3" workbookViewId="0">
      <selection activeCell="C5" sqref="C5"/>
    </sheetView>
  </sheetViews>
  <sheetFormatPr defaultRowHeight="14.4"/>
  <cols>
    <col min="1" max="1" width="2.5546875" customWidth="1"/>
    <col min="2" max="2" width="21.5546875" customWidth="1"/>
    <col min="3" max="3" width="26.109375" customWidth="1"/>
    <col min="4" max="4" width="11" customWidth="1"/>
    <col min="5" max="5" width="21.88671875" customWidth="1"/>
    <col min="6" max="6" width="27.44140625" customWidth="1"/>
    <col min="7" max="7" width="27.88671875" customWidth="1"/>
    <col min="8" max="8" width="17.33203125" customWidth="1"/>
    <col min="9" max="9" width="24.6640625" customWidth="1"/>
    <col min="10" max="10" width="18.6640625" customWidth="1"/>
    <col min="11" max="11" width="12.6640625" customWidth="1"/>
  </cols>
  <sheetData>
    <row r="1" spans="2:8" hidden="1">
      <c r="B1" s="213" t="s">
        <v>42</v>
      </c>
    </row>
    <row r="2" spans="2:8" hidden="1"/>
    <row r="3" spans="2:8" s="255" customFormat="1" ht="41.25" customHeight="1" thickBot="1">
      <c r="B3" s="351" t="s">
        <v>140</v>
      </c>
      <c r="D3" s="346"/>
      <c r="E3" s="346"/>
      <c r="F3" s="346"/>
    </row>
    <row r="4" spans="2:8" s="162" customFormat="1" ht="54.6" thickBot="1">
      <c r="B4" s="237" t="s">
        <v>19</v>
      </c>
      <c r="C4" s="238" t="s">
        <v>92</v>
      </c>
      <c r="D4" s="239" t="s">
        <v>95</v>
      </c>
      <c r="E4" s="240" t="s">
        <v>68</v>
      </c>
      <c r="F4" s="241" t="s">
        <v>96</v>
      </c>
    </row>
    <row r="5" spans="2:8" s="162" customFormat="1" ht="35.25" customHeight="1">
      <c r="B5" s="242" t="s">
        <v>4</v>
      </c>
      <c r="C5" s="243">
        <f>C32</f>
        <v>457664357.35799998</v>
      </c>
      <c r="D5" s="244">
        <v>8957</v>
      </c>
      <c r="E5" s="245">
        <v>524031</v>
      </c>
      <c r="F5" s="246">
        <f>C5/E5</f>
        <v>873.35359426827802</v>
      </c>
    </row>
    <row r="6" spans="2:8" s="162" customFormat="1" ht="35.25" customHeight="1">
      <c r="B6" s="247" t="s">
        <v>5</v>
      </c>
      <c r="C6" s="234">
        <f>E32</f>
        <v>52630000</v>
      </c>
      <c r="D6" s="235">
        <v>1385</v>
      </c>
      <c r="E6" s="236">
        <v>167667</v>
      </c>
      <c r="F6" s="248">
        <f>C6/E6</f>
        <v>313.89599623062378</v>
      </c>
    </row>
    <row r="7" spans="2:8" s="162" customFormat="1" ht="35.25" customHeight="1">
      <c r="B7" s="247" t="s">
        <v>6</v>
      </c>
      <c r="C7" s="234">
        <f>F32</f>
        <v>8991476.4399999995</v>
      </c>
      <c r="D7" s="235">
        <v>662</v>
      </c>
      <c r="E7" s="236">
        <v>65406</v>
      </c>
      <c r="F7" s="248">
        <f>C7/E7</f>
        <v>137.47173714949699</v>
      </c>
    </row>
    <row r="8" spans="2:8" s="162" customFormat="1" ht="35.25" customHeight="1" thickBot="1">
      <c r="B8" s="247" t="s">
        <v>7</v>
      </c>
      <c r="C8" s="231">
        <f>G32</f>
        <v>16391484.379999999</v>
      </c>
      <c r="D8" s="230">
        <v>1600</v>
      </c>
      <c r="E8" s="232">
        <v>109701</v>
      </c>
      <c r="F8" s="249">
        <f>C8/E8</f>
        <v>149.41964412357225</v>
      </c>
      <c r="H8" s="233"/>
    </row>
    <row r="9" spans="2:8" s="162" customFormat="1" ht="35.25" customHeight="1" thickTop="1" thickBot="1">
      <c r="B9" s="250" t="s">
        <v>12</v>
      </c>
      <c r="C9" s="251">
        <f>SUM(C5:C8)</f>
        <v>535677318.17799997</v>
      </c>
      <c r="D9" s="252">
        <f>SUM(D5:D8)</f>
        <v>12604</v>
      </c>
      <c r="E9" s="253">
        <f>SUM(E5:E8)</f>
        <v>866805</v>
      </c>
      <c r="F9" s="254">
        <f>C9/E9</f>
        <v>617.99057247939265</v>
      </c>
    </row>
    <row r="10" spans="2:8" s="162" customFormat="1" ht="35.25" customHeight="1">
      <c r="B10" s="325"/>
      <c r="C10" s="326"/>
      <c r="D10" s="327"/>
      <c r="E10" s="328"/>
      <c r="F10" s="329"/>
    </row>
    <row r="11" spans="2:8" s="330" customFormat="1" ht="35.25" customHeight="1" thickBot="1">
      <c r="B11" s="351" t="s">
        <v>141</v>
      </c>
      <c r="D11" s="347"/>
      <c r="E11" s="348"/>
      <c r="F11" s="349"/>
    </row>
    <row r="12" spans="2:8" s="330" customFormat="1" ht="35.25" customHeight="1" thickBot="1">
      <c r="B12" s="237" t="s">
        <v>19</v>
      </c>
      <c r="C12" s="238" t="s">
        <v>92</v>
      </c>
      <c r="D12" s="239" t="s">
        <v>95</v>
      </c>
      <c r="E12" s="240" t="s">
        <v>68</v>
      </c>
      <c r="F12" s="241" t="s">
        <v>96</v>
      </c>
    </row>
    <row r="13" spans="2:8" s="330" customFormat="1" ht="35.25" customHeight="1" thickBot="1">
      <c r="B13" s="242" t="s">
        <v>4</v>
      </c>
      <c r="C13" s="243">
        <f>E13*F13-372.57</f>
        <v>440709698.43000001</v>
      </c>
      <c r="D13" s="244">
        <v>8957</v>
      </c>
      <c r="E13" s="245">
        <v>524031</v>
      </c>
      <c r="F13" s="246">
        <v>841</v>
      </c>
      <c r="G13" s="345"/>
    </row>
    <row r="14" spans="2:8" s="330" customFormat="1" ht="35.25" customHeight="1" thickBot="1">
      <c r="B14" s="247" t="s">
        <v>5</v>
      </c>
      <c r="C14" s="243">
        <f t="shared" ref="C14:C16" si="0">E14*F14</f>
        <v>52632347.970000006</v>
      </c>
      <c r="D14" s="235">
        <v>1385</v>
      </c>
      <c r="E14" s="236">
        <v>167667</v>
      </c>
      <c r="F14" s="248">
        <v>313.91000000000003</v>
      </c>
    </row>
    <row r="15" spans="2:8" s="330" customFormat="1" ht="35.25" customHeight="1" thickBot="1">
      <c r="B15" s="247" t="s">
        <v>6</v>
      </c>
      <c r="C15" s="243">
        <f t="shared" si="0"/>
        <v>7322201.7000000002</v>
      </c>
      <c r="D15" s="235">
        <v>662</v>
      </c>
      <c r="E15" s="236">
        <v>65406</v>
      </c>
      <c r="F15" s="248">
        <v>111.95</v>
      </c>
    </row>
    <row r="16" spans="2:8" s="330" customFormat="1" ht="35.25" customHeight="1" thickBot="1">
      <c r="B16" s="247" t="s">
        <v>7</v>
      </c>
      <c r="C16" s="243">
        <f t="shared" si="0"/>
        <v>12165840.9</v>
      </c>
      <c r="D16" s="230">
        <v>1600</v>
      </c>
      <c r="E16" s="232">
        <v>109701</v>
      </c>
      <c r="F16" s="249">
        <v>110.9</v>
      </c>
    </row>
    <row r="17" spans="2:9" s="330" customFormat="1" ht="35.25" customHeight="1" thickTop="1" thickBot="1">
      <c r="B17" s="250" t="s">
        <v>12</v>
      </c>
      <c r="C17" s="251">
        <f>SUM(C13:C16)</f>
        <v>512830089</v>
      </c>
      <c r="D17" s="252">
        <f>SUM(D13:D16)</f>
        <v>12604</v>
      </c>
      <c r="E17" s="253">
        <f>SUM(E13:E16)</f>
        <v>866805</v>
      </c>
      <c r="F17" s="254">
        <f>C17/E17</f>
        <v>591.63259210549086</v>
      </c>
    </row>
    <row r="18" spans="2:9" s="330" customFormat="1" ht="35.25" customHeight="1" thickBot="1">
      <c r="B18" s="695" t="s">
        <v>84</v>
      </c>
      <c r="C18" s="695"/>
      <c r="D18" s="695"/>
      <c r="E18" s="695"/>
      <c r="F18" s="695"/>
      <c r="G18" s="350"/>
    </row>
    <row r="19" spans="2:9" s="330" customFormat="1" ht="35.25" hidden="1" customHeight="1">
      <c r="B19" s="325"/>
      <c r="C19" s="326"/>
      <c r="D19" s="327"/>
      <c r="E19" s="328"/>
      <c r="F19" s="329"/>
      <c r="G19" s="350"/>
    </row>
    <row r="20" spans="2:9" s="330" customFormat="1" ht="35.25" hidden="1" customHeight="1">
      <c r="B20" s="325"/>
      <c r="C20" s="326"/>
      <c r="D20" s="327"/>
      <c r="E20" s="328"/>
      <c r="F20" s="329"/>
    </row>
    <row r="21" spans="2:9" s="330" customFormat="1" ht="35.25" hidden="1" customHeight="1">
      <c r="B21" s="325"/>
      <c r="C21" s="326"/>
      <c r="D21" s="327"/>
      <c r="E21" s="328"/>
      <c r="F21" s="329"/>
    </row>
    <row r="22" spans="2:9" s="330" customFormat="1" ht="35.25" hidden="1" customHeight="1">
      <c r="B22" s="325"/>
      <c r="C22" s="326"/>
      <c r="D22" s="327"/>
      <c r="E22" s="328"/>
      <c r="F22" s="329"/>
    </row>
    <row r="23" spans="2:9" s="202" customFormat="1" hidden="1"/>
    <row r="24" spans="2:9" s="202" customFormat="1" hidden="1"/>
    <row r="25" spans="2:9" s="202" customFormat="1" hidden="1"/>
    <row r="26" spans="2:9" s="333" customFormat="1" ht="15.6" hidden="1">
      <c r="B26" s="331" t="s">
        <v>86</v>
      </c>
      <c r="C26" s="331"/>
      <c r="D26" s="331"/>
      <c r="E26" s="332"/>
      <c r="F26" s="332"/>
    </row>
    <row r="27" spans="2:9" s="333" customFormat="1" ht="31.2" hidden="1">
      <c r="B27" s="334" t="s">
        <v>39</v>
      </c>
      <c r="C27" s="335" t="s">
        <v>25</v>
      </c>
      <c r="D27" s="335"/>
      <c r="E27" s="335" t="s">
        <v>26</v>
      </c>
      <c r="F27" s="335" t="s">
        <v>27</v>
      </c>
      <c r="G27" s="336" t="s">
        <v>32</v>
      </c>
    </row>
    <row r="28" spans="2:9" s="333" customFormat="1" ht="93.6" hidden="1">
      <c r="B28" s="337"/>
      <c r="C28" s="338" t="s">
        <v>87</v>
      </c>
      <c r="D28" s="338"/>
      <c r="E28" s="339" t="s">
        <v>88</v>
      </c>
      <c r="F28" s="338" t="s">
        <v>89</v>
      </c>
      <c r="G28" s="340" t="s">
        <v>90</v>
      </c>
    </row>
    <row r="29" spans="2:9" s="333" customFormat="1" ht="15.6" hidden="1">
      <c r="B29" s="341" t="s">
        <v>35</v>
      </c>
      <c r="C29" s="342">
        <v>8957</v>
      </c>
      <c r="D29" s="342"/>
      <c r="E29" s="342">
        <v>1385</v>
      </c>
      <c r="F29" s="342" t="s">
        <v>91</v>
      </c>
      <c r="G29" s="342">
        <v>1600</v>
      </c>
    </row>
    <row r="30" spans="2:9" s="333" customFormat="1" ht="15.6" hidden="1">
      <c r="B30" s="343" t="s">
        <v>36</v>
      </c>
      <c r="C30" s="344">
        <f>C29*9102.76</f>
        <v>81533421.320000008</v>
      </c>
      <c r="D30" s="344"/>
      <c r="E30" s="344">
        <f>(E29/5)*190000</f>
        <v>52630000</v>
      </c>
      <c r="F30" s="344">
        <f>F29*2676.68</f>
        <v>1771962.16</v>
      </c>
      <c r="G30" s="344">
        <f>G29*2676.68</f>
        <v>4282688</v>
      </c>
    </row>
    <row r="31" spans="2:9" s="221" customFormat="1" ht="16.2" hidden="1" thickBot="1">
      <c r="B31" s="222" t="s">
        <v>37</v>
      </c>
      <c r="C31" s="223">
        <f>(E5/15)*10766.47</f>
        <v>376130936.03799999</v>
      </c>
      <c r="D31" s="223"/>
      <c r="E31" s="223"/>
      <c r="F31" s="223">
        <f>E7*110.38</f>
        <v>7219514.2799999993</v>
      </c>
      <c r="G31" s="223">
        <f>E8*110.38</f>
        <v>12108796.379999999</v>
      </c>
    </row>
    <row r="32" spans="2:9" s="221" customFormat="1" ht="16.2" hidden="1" thickTop="1">
      <c r="B32" s="224" t="s">
        <v>38</v>
      </c>
      <c r="C32" s="225">
        <f>SUM(C30:C31)</f>
        <v>457664357.35799998</v>
      </c>
      <c r="D32" s="225"/>
      <c r="E32" s="225">
        <f>SUM(E30:E31)</f>
        <v>52630000</v>
      </c>
      <c r="F32" s="225">
        <f>SUM(F30:F31)</f>
        <v>8991476.4399999995</v>
      </c>
      <c r="G32" s="225">
        <f>SUM(G30:G31)</f>
        <v>16391484.379999999</v>
      </c>
      <c r="I32" s="226">
        <f>C32+E32+F32+G32</f>
        <v>535677318.17799997</v>
      </c>
    </row>
    <row r="33" spans="2:9" s="221" customFormat="1" ht="15.6" hidden="1">
      <c r="B33" s="224"/>
      <c r="C33" s="225"/>
      <c r="D33" s="225"/>
      <c r="E33" s="225"/>
      <c r="F33" s="225"/>
      <c r="G33" s="225"/>
      <c r="I33" s="227"/>
    </row>
    <row r="34" spans="2:9" hidden="1">
      <c r="C34" s="258">
        <f>C31/C32</f>
        <v>0.82184887241236071</v>
      </c>
    </row>
    <row r="35" spans="2:9" hidden="1"/>
    <row r="36" spans="2:9" hidden="1">
      <c r="C36" s="213" t="s">
        <v>142</v>
      </c>
    </row>
    <row r="37" spans="2:9" hidden="1">
      <c r="C37" s="213"/>
    </row>
    <row r="38" spans="2:9" hidden="1">
      <c r="B38" t="s">
        <v>93</v>
      </c>
      <c r="C38" s="256">
        <v>494949182</v>
      </c>
    </row>
    <row r="39" spans="2:9" hidden="1">
      <c r="B39" t="s">
        <v>59</v>
      </c>
      <c r="C39" s="256">
        <v>493562302</v>
      </c>
    </row>
    <row r="40" spans="2:9" hidden="1">
      <c r="B40" t="s">
        <v>60</v>
      </c>
      <c r="C40" s="256">
        <v>502030089</v>
      </c>
    </row>
    <row r="41" spans="2:9" hidden="1">
      <c r="B41" t="s">
        <v>94</v>
      </c>
      <c r="C41" s="256">
        <v>512830089</v>
      </c>
      <c r="E41" s="352">
        <f>C41/E9</f>
        <v>591.63259210549086</v>
      </c>
    </row>
    <row r="42" spans="2:9" hidden="1">
      <c r="C42" s="256"/>
      <c r="E42" s="150"/>
    </row>
    <row r="43" spans="2:9" hidden="1"/>
  </sheetData>
  <mergeCells count="1">
    <mergeCell ref="B18:F18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90" zoomScaleNormal="90" workbookViewId="0">
      <selection activeCell="E22" sqref="E22"/>
    </sheetView>
  </sheetViews>
  <sheetFormatPr defaultRowHeight="14.4"/>
  <cols>
    <col min="1" max="1" width="19.88671875" customWidth="1"/>
    <col min="2" max="2" width="24.33203125" customWidth="1"/>
    <col min="3" max="6" width="21.5546875" customWidth="1"/>
  </cols>
  <sheetData>
    <row r="1" spans="1:5" ht="6.75" customHeight="1"/>
    <row r="2" spans="1:5" s="58" customFormat="1" ht="21">
      <c r="A2" s="164"/>
      <c r="B2" s="165" t="s">
        <v>25</v>
      </c>
      <c r="C2" s="165" t="s">
        <v>26</v>
      </c>
      <c r="D2" s="165" t="s">
        <v>27</v>
      </c>
      <c r="E2" s="165" t="s">
        <v>32</v>
      </c>
    </row>
    <row r="3" spans="1:5" s="163" customFormat="1" ht="92.25" customHeight="1">
      <c r="A3" s="166"/>
      <c r="B3" s="167" t="s">
        <v>75</v>
      </c>
      <c r="C3" s="168" t="s">
        <v>76</v>
      </c>
      <c r="D3" s="167" t="s">
        <v>77</v>
      </c>
      <c r="E3" s="167" t="s">
        <v>78</v>
      </c>
    </row>
    <row r="4" spans="1:5" s="60" customFormat="1" ht="22.5" customHeight="1">
      <c r="A4" s="169" t="s">
        <v>35</v>
      </c>
      <c r="B4" s="170">
        <v>8957</v>
      </c>
      <c r="C4" s="170">
        <v>1385</v>
      </c>
      <c r="D4" s="170">
        <v>662</v>
      </c>
      <c r="E4" s="170">
        <v>1600</v>
      </c>
    </row>
    <row r="5" spans="1:5" s="60" customFormat="1" ht="21" customHeight="1">
      <c r="A5" s="171" t="s">
        <v>36</v>
      </c>
      <c r="B5" s="172">
        <f>B4*9102.76</f>
        <v>81533421.320000008</v>
      </c>
      <c r="C5" s="172">
        <f>(C4/5)*190000</f>
        <v>52630000</v>
      </c>
      <c r="D5" s="172">
        <f>D4*2676.68</f>
        <v>1771962.16</v>
      </c>
      <c r="E5" s="172">
        <f>E4*2676.68</f>
        <v>4282688</v>
      </c>
    </row>
    <row r="6" spans="1:5" s="60" customFormat="1" ht="24.75" customHeight="1">
      <c r="A6" s="171" t="s">
        <v>74</v>
      </c>
      <c r="B6" s="172" t="e">
        <f>('SCUOLE IN LOMBARDIA'!#REF!/15)*10766.47</f>
        <v>#REF!</v>
      </c>
      <c r="C6" s="172"/>
      <c r="D6" s="172" t="e">
        <f>'SCUOLE IN LOMBARDIA'!#REF!*110.38</f>
        <v>#REF!</v>
      </c>
      <c r="E6" s="172" t="e">
        <f>'SCUOLE IN LOMBARDIA'!#REF!*110.38</f>
        <v>#REF!</v>
      </c>
    </row>
    <row r="7" spans="1:5" s="162" customFormat="1" ht="27" customHeight="1">
      <c r="A7" s="173" t="s">
        <v>38</v>
      </c>
      <c r="B7" s="174" t="e">
        <f>SUM(B5:B6)</f>
        <v>#REF!</v>
      </c>
      <c r="C7" s="174">
        <f>SUM(C5:C6)</f>
        <v>52630000</v>
      </c>
      <c r="D7" s="174" t="e">
        <f>SUM(D5:D6)</f>
        <v>#REF!</v>
      </c>
      <c r="E7" s="174" t="e">
        <f>SUM(E5:E6)</f>
        <v>#REF!</v>
      </c>
    </row>
    <row r="9" spans="1:5" ht="27.75" customHeight="1">
      <c r="B9" s="696" t="e">
        <f>SUM(B7:E7)</f>
        <v>#REF!</v>
      </c>
      <c r="C9" s="696"/>
      <c r="D9" s="696"/>
      <c r="E9" s="696"/>
    </row>
    <row r="13" spans="1:5" ht="18">
      <c r="A13" s="123" t="s">
        <v>84</v>
      </c>
      <c r="B13" s="123"/>
      <c r="C13" s="123"/>
      <c r="D13" s="214"/>
    </row>
    <row r="14" spans="1:5" ht="54">
      <c r="A14" s="84" t="s">
        <v>19</v>
      </c>
      <c r="B14" s="123"/>
      <c r="C14" s="215" t="s">
        <v>33</v>
      </c>
      <c r="D14" s="216" t="s">
        <v>85</v>
      </c>
    </row>
    <row r="15" spans="1:5" ht="18">
      <c r="A15" s="123" t="s">
        <v>4</v>
      </c>
      <c r="B15" s="217">
        <v>524031</v>
      </c>
      <c r="C15" s="228" t="e">
        <f>B7</f>
        <v>#REF!</v>
      </c>
      <c r="D15" s="218" t="e">
        <f>C15/B15</f>
        <v>#REF!</v>
      </c>
    </row>
    <row r="16" spans="1:5" ht="18">
      <c r="A16" s="123" t="s">
        <v>5</v>
      </c>
      <c r="B16" s="217">
        <v>167667</v>
      </c>
      <c r="C16" s="228">
        <f>C7</f>
        <v>52630000</v>
      </c>
      <c r="D16" s="218">
        <f>C16/B16</f>
        <v>313.89599623062378</v>
      </c>
    </row>
    <row r="17" spans="1:5" ht="18">
      <c r="A17" s="123" t="s">
        <v>6</v>
      </c>
      <c r="B17" s="217">
        <v>65406</v>
      </c>
      <c r="C17" s="228" t="e">
        <f>D7</f>
        <v>#REF!</v>
      </c>
      <c r="D17" s="218" t="e">
        <f>C17/B17</f>
        <v>#REF!</v>
      </c>
    </row>
    <row r="18" spans="1:5" ht="18.600000000000001" thickBot="1">
      <c r="A18" s="123" t="s">
        <v>7</v>
      </c>
      <c r="B18" s="219">
        <v>109701</v>
      </c>
      <c r="C18" s="229" t="e">
        <f>E7</f>
        <v>#REF!</v>
      </c>
      <c r="D18" s="220" t="e">
        <f>C18/B18</f>
        <v>#REF!</v>
      </c>
    </row>
    <row r="19" spans="1:5" ht="18.600000000000001" thickTop="1">
      <c r="A19" s="84" t="s">
        <v>12</v>
      </c>
      <c r="B19" s="122">
        <f>SUM(B15:B18)</f>
        <v>866805</v>
      </c>
      <c r="C19" s="228" t="e">
        <f>SUM(C15:C18)</f>
        <v>#REF!</v>
      </c>
      <c r="D19" s="218"/>
    </row>
    <row r="21" spans="1:5" ht="18">
      <c r="A21" s="123" t="s">
        <v>97</v>
      </c>
      <c r="B21" s="217">
        <v>13601</v>
      </c>
    </row>
    <row r="23" spans="1:5">
      <c r="A23" t="s">
        <v>93</v>
      </c>
      <c r="B23" s="256">
        <v>494949182</v>
      </c>
    </row>
    <row r="24" spans="1:5">
      <c r="A24" t="s">
        <v>59</v>
      </c>
      <c r="B24" s="256">
        <v>493562302</v>
      </c>
    </row>
    <row r="25" spans="1:5">
      <c r="A25" t="s">
        <v>60</v>
      </c>
      <c r="B25" s="256">
        <v>502030089</v>
      </c>
    </row>
    <row r="26" spans="1:5">
      <c r="A26" t="s">
        <v>94</v>
      </c>
      <c r="B26" s="256">
        <v>512830089</v>
      </c>
      <c r="C26" s="257">
        <f>B26/B19</f>
        <v>591.63259210549086</v>
      </c>
      <c r="D26">
        <v>35900000</v>
      </c>
      <c r="E26" s="257">
        <f>D26/B21</f>
        <v>2639.511800602897</v>
      </c>
    </row>
    <row r="27" spans="1:5">
      <c r="D27">
        <v>12500000</v>
      </c>
    </row>
    <row r="28" spans="1:5">
      <c r="D28">
        <f>D26-D27</f>
        <v>23400000</v>
      </c>
      <c r="E28" s="257">
        <f>D28/B21</f>
        <v>1720.4617307550916</v>
      </c>
    </row>
  </sheetData>
  <mergeCells count="1">
    <mergeCell ref="B9:E9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</vt:i4>
      </vt:variant>
    </vt:vector>
  </HeadingPairs>
  <TitlesOfParts>
    <vt:vector size="17" baseType="lpstr">
      <vt:lpstr>ORIG con intervento</vt:lpstr>
      <vt:lpstr>ORIG senza intervento</vt:lpstr>
      <vt:lpstr>Liguria</vt:lpstr>
      <vt:lpstr>Lombardia </vt:lpstr>
      <vt:lpstr>Piemonte</vt:lpstr>
      <vt:lpstr>Puglia</vt:lpstr>
      <vt:lpstr>Veneto</vt:lpstr>
      <vt:lpstr>CONTRIBUTI MIN. PARITARIE</vt:lpstr>
      <vt:lpstr>CONTRIB</vt:lpstr>
      <vt:lpstr>Foglio1</vt:lpstr>
      <vt:lpstr>DISABILI</vt:lpstr>
      <vt:lpstr>ALUNNI</vt:lpstr>
      <vt:lpstr>DirdiAPpp</vt:lpstr>
      <vt:lpstr>SCUOLE IN LOMBARDIA</vt:lpstr>
      <vt:lpstr>Slide 22</vt:lpstr>
      <vt:lpstr>Slide 22 con BilPrev2020-2022</vt:lpstr>
      <vt:lpstr>'Lombardia 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sranna</cp:lastModifiedBy>
  <cp:lastPrinted>2020-07-31T13:03:59Z</cp:lastPrinted>
  <dcterms:created xsi:type="dcterms:W3CDTF">2019-10-31T17:05:15Z</dcterms:created>
  <dcterms:modified xsi:type="dcterms:W3CDTF">2020-09-28T14:40:38Z</dcterms:modified>
</cp:coreProperties>
</file>